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llaLopez\Desktop\cuenta trismetral 4\Formatos IFT 2022 - Organismos Operadores de Agua\"/>
    </mc:Choice>
  </mc:AlternateContent>
  <xr:revisionPtr revIDLastSave="0" documentId="8_{00361EA1-6BED-4947-B522-E5EE83E812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IGOO" sheetId="2" r:id="rId1"/>
    <sheet name="INDICADORES" sheetId="1" r:id="rId2"/>
    <sheet name="graficos" sheetId="3" r:id="rId3"/>
    <sheet name="INSTRUCTIVO" sheetId="4" r:id="rId4"/>
  </sheets>
  <externalReferences>
    <externalReference r:id="rId5"/>
    <externalReference r:id="rId6"/>
    <externalReference r:id="rId7"/>
  </externalReferences>
  <definedNames>
    <definedName name="Admin.">'[1]Gastos de Admin.'!$H$234</definedName>
    <definedName name="_xlnm.Extract">#REF!</definedName>
    <definedName name="_xlnm.Print_Area" localSheetId="0">PIGOO!$A$1:$R$204</definedName>
    <definedName name="Comerc.">#REF!</definedName>
    <definedName name="Egresos">#REF!</definedName>
    <definedName name="Grales.">#REF!</definedName>
    <definedName name="ing">#REF!</definedName>
    <definedName name="Ingresos">#REF!</definedName>
    <definedName name="inv">#REF!</definedName>
    <definedName name="Inversiones">#REF!</definedName>
    <definedName name="Op.Mant.">#REF!</definedName>
    <definedName name="_xlnm.Print_Titles" localSheetId="0">PIGOO!$9:$10</definedName>
    <definedName name="Tot.Gastos">#REF!</definedName>
    <definedName name="xxx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L186" i="2" l="1"/>
  <c r="K186" i="2"/>
  <c r="J186" i="2"/>
  <c r="I186" i="2"/>
  <c r="H186" i="2"/>
  <c r="G186" i="2"/>
  <c r="F186" i="2"/>
  <c r="E186" i="2"/>
  <c r="D186" i="2"/>
  <c r="C186" i="2"/>
  <c r="B186" i="2"/>
  <c r="L173" i="2"/>
  <c r="K173" i="2"/>
  <c r="J173" i="2"/>
  <c r="I173" i="2"/>
  <c r="H173" i="2"/>
  <c r="G173" i="2"/>
  <c r="F173" i="2"/>
  <c r="E173" i="2"/>
  <c r="D173" i="2"/>
  <c r="C173" i="2"/>
  <c r="B173" i="2"/>
  <c r="L167" i="2"/>
  <c r="K167" i="2"/>
  <c r="J167" i="2"/>
  <c r="I167" i="2"/>
  <c r="H167" i="2"/>
  <c r="G167" i="2"/>
  <c r="F167" i="2"/>
  <c r="E167" i="2"/>
  <c r="D167" i="2"/>
  <c r="C167" i="2"/>
  <c r="B167" i="2"/>
  <c r="K152" i="2"/>
  <c r="I152" i="2"/>
  <c r="H152" i="2"/>
  <c r="D152" i="2"/>
  <c r="L138" i="2"/>
  <c r="K138" i="2"/>
  <c r="J138" i="2"/>
  <c r="I138" i="2"/>
  <c r="H138" i="2"/>
  <c r="G138" i="2"/>
  <c r="F138" i="2"/>
  <c r="E138" i="2"/>
  <c r="D138" i="2"/>
  <c r="C138" i="2"/>
  <c r="B138" i="2"/>
  <c r="R132" i="2"/>
  <c r="Q132" i="2"/>
  <c r="Q131" i="2" s="1"/>
  <c r="P132" i="2"/>
  <c r="O132" i="2"/>
  <c r="N132" i="2"/>
  <c r="R131" i="2"/>
  <c r="P131" i="2"/>
  <c r="O131" i="2"/>
  <c r="N131" i="2"/>
  <c r="L131" i="2"/>
  <c r="K131" i="2"/>
  <c r="J131" i="2"/>
  <c r="I131" i="2"/>
  <c r="H131" i="2"/>
  <c r="G131" i="2"/>
  <c r="F131" i="2"/>
  <c r="E131" i="2"/>
  <c r="D131" i="2"/>
  <c r="C131" i="2"/>
  <c r="B131" i="2"/>
  <c r="L130" i="2"/>
  <c r="K130" i="2"/>
  <c r="J130" i="2"/>
  <c r="I130" i="2"/>
  <c r="H130" i="2"/>
  <c r="G130" i="2"/>
  <c r="F130" i="2"/>
  <c r="E130" i="2"/>
  <c r="D130" i="2"/>
  <c r="C130" i="2"/>
  <c r="B130" i="2"/>
  <c r="L118" i="2"/>
  <c r="K118" i="2"/>
  <c r="J118" i="2"/>
  <c r="I118" i="2"/>
  <c r="H118" i="2"/>
  <c r="G118" i="2"/>
  <c r="F118" i="2"/>
  <c r="E118" i="2"/>
  <c r="D118" i="2"/>
  <c r="C118" i="2"/>
  <c r="B118" i="2"/>
  <c r="L112" i="2"/>
  <c r="K112" i="2"/>
  <c r="J112" i="2"/>
  <c r="I112" i="2"/>
  <c r="H112" i="2"/>
  <c r="G112" i="2"/>
  <c r="F112" i="2"/>
  <c r="E112" i="2"/>
  <c r="D112" i="2"/>
  <c r="C112" i="2"/>
  <c r="C111" i="2" s="1"/>
  <c r="B112" i="2"/>
  <c r="B111" i="2" s="1"/>
  <c r="K111" i="2"/>
  <c r="K127" i="2" s="1"/>
  <c r="J111" i="2"/>
  <c r="J127" i="2" s="1"/>
  <c r="I111" i="2"/>
  <c r="I127" i="2" s="1"/>
  <c r="H111" i="2"/>
  <c r="G111" i="2"/>
  <c r="F111" i="2"/>
  <c r="D111" i="2"/>
  <c r="L99" i="2"/>
  <c r="K99" i="2"/>
  <c r="J99" i="2"/>
  <c r="I99" i="2"/>
  <c r="H99" i="2"/>
  <c r="G99" i="2"/>
  <c r="F99" i="2"/>
  <c r="E99" i="2"/>
  <c r="D99" i="2"/>
  <c r="C99" i="2"/>
  <c r="B99" i="2"/>
  <c r="L92" i="2"/>
  <c r="K92" i="2"/>
  <c r="J92" i="2"/>
  <c r="I92" i="2"/>
  <c r="H92" i="2"/>
  <c r="G92" i="2"/>
  <c r="F92" i="2"/>
  <c r="E92" i="2"/>
  <c r="D92" i="2"/>
  <c r="C92" i="2"/>
  <c r="B92" i="2"/>
  <c r="L89" i="2"/>
  <c r="K89" i="2"/>
  <c r="J89" i="2"/>
  <c r="I89" i="2"/>
  <c r="H89" i="2"/>
  <c r="G89" i="2"/>
  <c r="F89" i="2"/>
  <c r="E89" i="2"/>
  <c r="D89" i="2"/>
  <c r="C89" i="2"/>
  <c r="B89" i="2"/>
  <c r="N81" i="2"/>
  <c r="N80" i="2"/>
  <c r="L79" i="2"/>
  <c r="K79" i="2"/>
  <c r="J79" i="2"/>
  <c r="I79" i="2"/>
  <c r="H79" i="2"/>
  <c r="G79" i="2"/>
  <c r="F79" i="2"/>
  <c r="E79" i="2"/>
  <c r="D79" i="2"/>
  <c r="C79" i="2"/>
  <c r="B79" i="2"/>
  <c r="N79" i="2" s="1"/>
  <c r="N76" i="2"/>
  <c r="N75" i="2"/>
  <c r="N74" i="2"/>
  <c r="N73" i="2"/>
  <c r="N72" i="2"/>
  <c r="L71" i="2"/>
  <c r="K71" i="2"/>
  <c r="J71" i="2"/>
  <c r="I71" i="2"/>
  <c r="H71" i="2"/>
  <c r="G71" i="2"/>
  <c r="F71" i="2"/>
  <c r="E71" i="2"/>
  <c r="D71" i="2"/>
  <c r="C71" i="2"/>
  <c r="B71" i="2"/>
  <c r="L65" i="2"/>
  <c r="K65" i="2"/>
  <c r="J65" i="2"/>
  <c r="I65" i="2"/>
  <c r="H65" i="2"/>
  <c r="G65" i="2"/>
  <c r="F65" i="2"/>
  <c r="E65" i="2"/>
  <c r="D65" i="2"/>
  <c r="C65" i="2"/>
  <c r="B65" i="2"/>
  <c r="L56" i="2"/>
  <c r="K56" i="2"/>
  <c r="J56" i="2"/>
  <c r="I56" i="2"/>
  <c r="H56" i="2"/>
  <c r="G56" i="2"/>
  <c r="F56" i="2"/>
  <c r="E56" i="2"/>
  <c r="D56" i="2"/>
  <c r="C56" i="2"/>
  <c r="B56" i="2"/>
  <c r="N51" i="2"/>
  <c r="L51" i="2"/>
  <c r="K51" i="2"/>
  <c r="J51" i="2"/>
  <c r="I51" i="2"/>
  <c r="H51" i="2"/>
  <c r="G51" i="2"/>
  <c r="F51" i="2"/>
  <c r="E51" i="2"/>
  <c r="D51" i="2"/>
  <c r="C51" i="2"/>
  <c r="B51" i="2"/>
  <c r="L41" i="2"/>
  <c r="K41" i="2"/>
  <c r="J41" i="2"/>
  <c r="I41" i="2"/>
  <c r="H41" i="2"/>
  <c r="G41" i="2"/>
  <c r="F41" i="2"/>
  <c r="E41" i="2"/>
  <c r="D41" i="2"/>
  <c r="C41" i="2"/>
  <c r="B41" i="2"/>
  <c r="N39" i="2"/>
  <c r="O39" i="2" s="1"/>
  <c r="P39" i="2" s="1"/>
  <c r="N37" i="2"/>
  <c r="N36" i="2"/>
  <c r="N35" i="2"/>
  <c r="O34" i="2"/>
  <c r="L34" i="2"/>
  <c r="L38" i="2" s="1"/>
  <c r="K34" i="2"/>
  <c r="J34" i="2"/>
  <c r="J38" i="2" s="1"/>
  <c r="I34" i="2"/>
  <c r="H34" i="2"/>
  <c r="G34" i="2"/>
  <c r="F34" i="2"/>
  <c r="E34" i="2"/>
  <c r="D34" i="2"/>
  <c r="C34" i="2"/>
  <c r="B34" i="2"/>
  <c r="N33" i="2"/>
  <c r="O25" i="2"/>
  <c r="O22" i="2" s="1"/>
  <c r="O21" i="2" s="1"/>
  <c r="N25" i="2"/>
  <c r="L25" i="2"/>
  <c r="K25" i="2"/>
  <c r="K22" i="2" s="1"/>
  <c r="J25" i="2"/>
  <c r="I25" i="2"/>
  <c r="H25" i="2"/>
  <c r="G25" i="2"/>
  <c r="G22" i="2" s="1"/>
  <c r="G21" i="2" s="1"/>
  <c r="F25" i="2"/>
  <c r="E25" i="2"/>
  <c r="D25" i="2"/>
  <c r="C25" i="2"/>
  <c r="C22" i="2" s="1"/>
  <c r="C21" i="2" s="1"/>
  <c r="B25" i="2"/>
  <c r="N24" i="2"/>
  <c r="N23" i="2"/>
  <c r="L22" i="2"/>
  <c r="L21" i="2" s="1"/>
  <c r="J22" i="2"/>
  <c r="I22" i="2"/>
  <c r="H22" i="2"/>
  <c r="H21" i="2" s="1"/>
  <c r="F22" i="2"/>
  <c r="E22" i="2"/>
  <c r="D22" i="2"/>
  <c r="D21" i="2" s="1"/>
  <c r="B22" i="2"/>
  <c r="J21" i="2"/>
  <c r="I21" i="2"/>
  <c r="F21" i="2"/>
  <c r="E21" i="2"/>
  <c r="B21" i="2"/>
  <c r="R20" i="2"/>
  <c r="P30" i="2" s="1"/>
  <c r="Q30" i="2" s="1"/>
  <c r="N19" i="2"/>
  <c r="N18" i="2"/>
  <c r="N17" i="2"/>
  <c r="N16" i="2"/>
  <c r="N15" i="2"/>
  <c r="N14" i="2"/>
  <c r="O13" i="2"/>
  <c r="L13" i="2"/>
  <c r="L12" i="2" s="1"/>
  <c r="L11" i="2" s="1"/>
  <c r="K13" i="2"/>
  <c r="J13" i="2"/>
  <c r="I13" i="2"/>
  <c r="H13" i="2"/>
  <c r="G13" i="2"/>
  <c r="F13" i="2"/>
  <c r="E13" i="2"/>
  <c r="D13" i="2"/>
  <c r="C13" i="2"/>
  <c r="B13" i="2"/>
  <c r="O12" i="2"/>
  <c r="K12" i="2"/>
  <c r="J12" i="2"/>
  <c r="I12" i="2"/>
  <c r="H12" i="2"/>
  <c r="G12" i="2"/>
  <c r="F12" i="2"/>
  <c r="E12" i="2"/>
  <c r="D12" i="2"/>
  <c r="C12" i="2"/>
  <c r="B12" i="2"/>
  <c r="O11" i="2"/>
  <c r="O32" i="2" s="1"/>
  <c r="O38" i="2" s="1"/>
  <c r="K11" i="2"/>
  <c r="J11" i="2"/>
  <c r="I11" i="2"/>
  <c r="I32" i="2" s="1"/>
  <c r="I38" i="2" s="1"/>
  <c r="H11" i="2"/>
  <c r="H32" i="2" s="1"/>
  <c r="H38" i="2" s="1"/>
  <c r="G11" i="2"/>
  <c r="G32" i="2" s="1"/>
  <c r="G38" i="2" s="1"/>
  <c r="F11" i="2"/>
  <c r="F32" i="2" s="1"/>
  <c r="F38" i="2" s="1"/>
  <c r="E11" i="2"/>
  <c r="E32" i="2" s="1"/>
  <c r="E38" i="2" s="1"/>
  <c r="D11" i="2"/>
  <c r="D32" i="2" s="1"/>
  <c r="D38" i="2" s="1"/>
  <c r="C11" i="2"/>
  <c r="C32" i="2" s="1"/>
  <c r="C38" i="2" s="1"/>
  <c r="B11" i="2"/>
  <c r="B32" i="2" s="1"/>
  <c r="B38" i="2" s="1"/>
  <c r="N13" i="2" l="1"/>
  <c r="N12" i="2" s="1"/>
  <c r="N11" i="2" s="1"/>
  <c r="S11" i="2" s="1"/>
  <c r="N34" i="2"/>
  <c r="Q39" i="2"/>
  <c r="L111" i="2"/>
  <c r="L127" i="2" s="1"/>
  <c r="N71" i="2"/>
  <c r="N22" i="2"/>
  <c r="P34" i="2"/>
  <c r="E127" i="2"/>
  <c r="G127" i="2"/>
  <c r="F127" i="2"/>
  <c r="H127" i="2"/>
  <c r="D127" i="2"/>
  <c r="C127" i="2"/>
  <c r="B127" i="2"/>
  <c r="Q34" i="2"/>
  <c r="R34" i="2" s="1"/>
  <c r="K32" i="2"/>
  <c r="K38" i="2" s="1"/>
  <c r="K21" i="2"/>
  <c r="N21" i="2" s="1"/>
  <c r="P26" i="2"/>
  <c r="P33" i="2"/>
  <c r="Q33" i="2" s="1"/>
  <c r="R33" i="2" s="1"/>
  <c r="P19" i="2"/>
  <c r="Q19" i="2" s="1"/>
  <c r="R19" i="2" s="1"/>
  <c r="P29" i="2"/>
  <c r="Q29" i="2" s="1"/>
  <c r="P14" i="2"/>
  <c r="Q14" i="2" s="1"/>
  <c r="R14" i="2" s="1"/>
  <c r="P15" i="2"/>
  <c r="Q15" i="2" s="1"/>
  <c r="R15" i="2" s="1"/>
  <c r="P16" i="2"/>
  <c r="Q16" i="2" s="1"/>
  <c r="R16" i="2" s="1"/>
  <c r="P17" i="2"/>
  <c r="Q17" i="2" s="1"/>
  <c r="R17" i="2" s="1"/>
  <c r="P27" i="2"/>
  <c r="Q27" i="2" s="1"/>
  <c r="R27" i="2" s="1"/>
  <c r="P23" i="2"/>
  <c r="P24" i="2"/>
  <c r="Q24" i="2" s="1"/>
  <c r="R24" i="2" s="1"/>
  <c r="N32" i="2" l="1"/>
  <c r="N38" i="2"/>
  <c r="P13" i="2"/>
  <c r="Q26" i="2"/>
  <c r="P25" i="2"/>
  <c r="Q25" i="2" s="1"/>
  <c r="R25" i="2" s="1"/>
  <c r="Q23" i="2"/>
  <c r="P22" i="2" l="1"/>
  <c r="P12" i="2"/>
  <c r="Q13" i="2"/>
  <c r="R13" i="2" s="1"/>
  <c r="R23" i="2"/>
  <c r="P18" i="2"/>
  <c r="Q18" i="2" s="1"/>
  <c r="P21" i="2" l="1"/>
  <c r="Q21" i="2" s="1"/>
  <c r="R21" i="2" s="1"/>
  <c r="Q22" i="2"/>
  <c r="R22" i="2" s="1"/>
  <c r="P11" i="2"/>
  <c r="Q12" i="2"/>
  <c r="R12" i="2" s="1"/>
  <c r="P32" i="2" l="1"/>
  <c r="Q11" i="2"/>
  <c r="R11" i="2" s="1"/>
  <c r="P38" i="2" l="1"/>
  <c r="Q38" i="2" s="1"/>
  <c r="Q32" i="2"/>
  <c r="R32" i="2" s="1"/>
  <c r="E190" i="1" l="1"/>
  <c r="F190" i="1"/>
  <c r="G190" i="1"/>
  <c r="H190" i="1"/>
  <c r="I190" i="1"/>
  <c r="J190" i="1"/>
  <c r="K190" i="1"/>
  <c r="L190" i="1"/>
  <c r="M190" i="1"/>
  <c r="N190" i="1"/>
  <c r="O190" i="1"/>
  <c r="D190" i="1"/>
  <c r="M203" i="3" l="1"/>
  <c r="M202" i="3"/>
  <c r="E19" i="1"/>
  <c r="F19" i="1"/>
  <c r="G19" i="1"/>
  <c r="H19" i="1"/>
  <c r="I19" i="1"/>
  <c r="J19" i="1"/>
  <c r="K19" i="1"/>
  <c r="L19" i="1"/>
  <c r="M19" i="1"/>
  <c r="N19" i="1"/>
  <c r="O19" i="1"/>
  <c r="D19" i="1"/>
  <c r="E153" i="1"/>
  <c r="F153" i="1"/>
  <c r="G153" i="1"/>
  <c r="H153" i="1"/>
  <c r="I153" i="1"/>
  <c r="J153" i="1"/>
  <c r="K153" i="1"/>
  <c r="L153" i="1"/>
  <c r="M153" i="1"/>
  <c r="N153" i="1"/>
  <c r="O153" i="1"/>
  <c r="D153" i="1"/>
  <c r="E109" i="1"/>
  <c r="F109" i="1"/>
  <c r="G109" i="1"/>
  <c r="H109" i="1"/>
  <c r="I109" i="1"/>
  <c r="J109" i="1"/>
  <c r="K109" i="1"/>
  <c r="L109" i="1"/>
  <c r="M109" i="1"/>
  <c r="N109" i="1"/>
  <c r="O109" i="1"/>
  <c r="D109" i="1"/>
  <c r="E115" i="1"/>
  <c r="E152" i="1" s="1"/>
  <c r="F115" i="1"/>
  <c r="F152" i="1" s="1"/>
  <c r="G115" i="1"/>
  <c r="G152" i="1" s="1"/>
  <c r="H115" i="1"/>
  <c r="H152" i="1" s="1"/>
  <c r="I115" i="1"/>
  <c r="I152" i="1" s="1"/>
  <c r="J115" i="1"/>
  <c r="J152" i="1" s="1"/>
  <c r="K115" i="1"/>
  <c r="K152" i="1" s="1"/>
  <c r="L115" i="1"/>
  <c r="L152" i="1" s="1"/>
  <c r="M115" i="1"/>
  <c r="M152" i="1" s="1"/>
  <c r="N115" i="1"/>
  <c r="N152" i="1" s="1"/>
  <c r="O115" i="1"/>
  <c r="O152" i="1" s="1"/>
  <c r="D115" i="1"/>
  <c r="D152" i="1" s="1"/>
  <c r="C94" i="3"/>
  <c r="D94" i="3"/>
  <c r="E94" i="3"/>
  <c r="F94" i="3"/>
  <c r="G94" i="3"/>
  <c r="H94" i="3"/>
  <c r="I94" i="3"/>
  <c r="J94" i="3"/>
  <c r="K94" i="3"/>
  <c r="L94" i="3"/>
  <c r="M94" i="3"/>
  <c r="C95" i="3"/>
  <c r="D95" i="3"/>
  <c r="E95" i="3"/>
  <c r="F95" i="3"/>
  <c r="G95" i="3"/>
  <c r="H95" i="3"/>
  <c r="I95" i="3"/>
  <c r="J95" i="3"/>
  <c r="K95" i="3"/>
  <c r="L95" i="3"/>
  <c r="M95" i="3"/>
  <c r="C96" i="3"/>
  <c r="D96" i="3"/>
  <c r="E96" i="3"/>
  <c r="F96" i="3"/>
  <c r="G96" i="3"/>
  <c r="H96" i="3"/>
  <c r="I96" i="3"/>
  <c r="J96" i="3"/>
  <c r="K96" i="3"/>
  <c r="L96" i="3"/>
  <c r="M96" i="3"/>
  <c r="C97" i="3"/>
  <c r="D97" i="3"/>
  <c r="E97" i="3"/>
  <c r="F97" i="3"/>
  <c r="G97" i="3"/>
  <c r="H97" i="3"/>
  <c r="I97" i="3"/>
  <c r="J97" i="3"/>
  <c r="K97" i="3"/>
  <c r="L97" i="3"/>
  <c r="M97" i="3"/>
  <c r="B97" i="3"/>
  <c r="B96" i="3"/>
  <c r="B95" i="3"/>
  <c r="B94" i="3"/>
  <c r="C120" i="3"/>
  <c r="D120" i="3"/>
  <c r="E120" i="3"/>
  <c r="F120" i="3"/>
  <c r="G120" i="3"/>
  <c r="H120" i="3"/>
  <c r="I120" i="3"/>
  <c r="J120" i="3"/>
  <c r="K120" i="3"/>
  <c r="L120" i="3"/>
  <c r="M120" i="3"/>
  <c r="B120" i="3"/>
  <c r="G215" i="1" l="1"/>
  <c r="H215" i="1"/>
  <c r="I215" i="1"/>
  <c r="L215" i="1"/>
  <c r="O215" i="1"/>
  <c r="E203" i="1"/>
  <c r="F203" i="1"/>
  <c r="G203" i="1"/>
  <c r="H203" i="1"/>
  <c r="I203" i="1"/>
  <c r="J203" i="1"/>
  <c r="L203" i="1"/>
  <c r="M203" i="1"/>
  <c r="N203" i="1"/>
  <c r="O203" i="1"/>
  <c r="E199" i="1"/>
  <c r="F199" i="1"/>
  <c r="G199" i="1"/>
  <c r="H199" i="1"/>
  <c r="I199" i="1"/>
  <c r="J199" i="1"/>
  <c r="K199" i="1"/>
  <c r="L199" i="1"/>
  <c r="M199" i="1"/>
  <c r="N199" i="1"/>
  <c r="O199" i="1"/>
  <c r="D203" i="1"/>
  <c r="D199" i="1"/>
  <c r="E195" i="1"/>
  <c r="F195" i="1"/>
  <c r="G195" i="1"/>
  <c r="H195" i="1"/>
  <c r="I195" i="1"/>
  <c r="J195" i="1"/>
  <c r="L195" i="1"/>
  <c r="N195" i="1"/>
  <c r="O195" i="1"/>
  <c r="D195" i="1"/>
  <c r="E191" i="1"/>
  <c r="F191" i="1"/>
  <c r="G191" i="1"/>
  <c r="H191" i="1"/>
  <c r="I191" i="1"/>
  <c r="J191" i="1"/>
  <c r="L191" i="1"/>
  <c r="N191" i="1"/>
  <c r="O191" i="1"/>
  <c r="D191" i="1"/>
  <c r="E183" i="1"/>
  <c r="F183" i="1"/>
  <c r="G183" i="1"/>
  <c r="H183" i="1"/>
  <c r="I183" i="1"/>
  <c r="J183" i="1"/>
  <c r="K183" i="1"/>
  <c r="L183" i="1"/>
  <c r="M183" i="1"/>
  <c r="N183" i="1"/>
  <c r="O183" i="1"/>
  <c r="D183" i="1"/>
  <c r="G180" i="1"/>
  <c r="H180" i="1"/>
  <c r="I180" i="1"/>
  <c r="L180" i="1"/>
  <c r="M180" i="1"/>
  <c r="N180" i="1"/>
  <c r="O180" i="1"/>
  <c r="D180" i="1"/>
  <c r="G171" i="1"/>
  <c r="E119" i="3" s="1"/>
  <c r="O171" i="1"/>
  <c r="M119" i="3" s="1"/>
  <c r="E169" i="1"/>
  <c r="C121" i="3" s="1"/>
  <c r="F169" i="1"/>
  <c r="D121" i="3" s="1"/>
  <c r="G169" i="1"/>
  <c r="E121" i="3" s="1"/>
  <c r="H169" i="1"/>
  <c r="F121" i="3" s="1"/>
  <c r="I169" i="1"/>
  <c r="G121" i="3" s="1"/>
  <c r="J169" i="1"/>
  <c r="H121" i="3" s="1"/>
  <c r="K169" i="1"/>
  <c r="I121" i="3" s="1"/>
  <c r="L169" i="1"/>
  <c r="J121" i="3" s="1"/>
  <c r="M169" i="1"/>
  <c r="K121" i="3" s="1"/>
  <c r="N169" i="1"/>
  <c r="L121" i="3" s="1"/>
  <c r="O169" i="1"/>
  <c r="M121" i="3" s="1"/>
  <c r="D169" i="1"/>
  <c r="B121" i="3" s="1"/>
  <c r="E167" i="1"/>
  <c r="F167" i="1"/>
  <c r="G167" i="1"/>
  <c r="H167" i="1"/>
  <c r="I167" i="1"/>
  <c r="J167" i="1"/>
  <c r="K167" i="1"/>
  <c r="L167" i="1"/>
  <c r="M167" i="1"/>
  <c r="N167" i="1"/>
  <c r="O167" i="1"/>
  <c r="D167" i="1"/>
  <c r="E164" i="1"/>
  <c r="F164" i="1"/>
  <c r="G164" i="1"/>
  <c r="H164" i="1"/>
  <c r="I164" i="1"/>
  <c r="J164" i="1"/>
  <c r="K164" i="1"/>
  <c r="L164" i="1"/>
  <c r="M164" i="1"/>
  <c r="N164" i="1"/>
  <c r="O164" i="1"/>
  <c r="D164" i="1"/>
  <c r="E162" i="1"/>
  <c r="F162" i="1"/>
  <c r="G162" i="1"/>
  <c r="H162" i="1"/>
  <c r="I162" i="1"/>
  <c r="J162" i="1"/>
  <c r="K162" i="1"/>
  <c r="L162" i="1"/>
  <c r="M162" i="1"/>
  <c r="N162" i="1"/>
  <c r="O162" i="1"/>
  <c r="D162" i="1"/>
  <c r="I159" i="1"/>
  <c r="O159" i="1"/>
  <c r="G154" i="1"/>
  <c r="H154" i="1"/>
  <c r="I154" i="1"/>
  <c r="J154" i="1"/>
  <c r="K154" i="1"/>
  <c r="L154" i="1"/>
  <c r="M154" i="1"/>
  <c r="N154" i="1"/>
  <c r="O154" i="1"/>
  <c r="E79" i="1"/>
  <c r="F79" i="1"/>
  <c r="G79" i="1"/>
  <c r="H79" i="1"/>
  <c r="I79" i="1"/>
  <c r="J79" i="1"/>
  <c r="K79" i="1"/>
  <c r="L79" i="1"/>
  <c r="M79" i="1"/>
  <c r="N79" i="1"/>
  <c r="O79" i="1"/>
  <c r="D79" i="1"/>
  <c r="E61" i="1"/>
  <c r="F61" i="1"/>
  <c r="G61" i="1"/>
  <c r="H61" i="1"/>
  <c r="I61" i="1"/>
  <c r="J61" i="1"/>
  <c r="K61" i="1"/>
  <c r="L61" i="1"/>
  <c r="M61" i="1"/>
  <c r="N61" i="1"/>
  <c r="O61" i="1"/>
  <c r="D61" i="1"/>
  <c r="E55" i="1"/>
  <c r="F55" i="1"/>
  <c r="G55" i="1"/>
  <c r="H55" i="1"/>
  <c r="I55" i="1"/>
  <c r="J55" i="1"/>
  <c r="K55" i="1"/>
  <c r="L55" i="1"/>
  <c r="M55" i="1"/>
  <c r="N55" i="1"/>
  <c r="O55" i="1"/>
  <c r="D55" i="1"/>
  <c r="E40" i="1"/>
  <c r="F40" i="1"/>
  <c r="G40" i="1"/>
  <c r="H40" i="1"/>
  <c r="I40" i="1"/>
  <c r="J40" i="1"/>
  <c r="K40" i="1"/>
  <c r="L40" i="1"/>
  <c r="M40" i="1"/>
  <c r="N40" i="1"/>
  <c r="O40" i="1"/>
  <c r="E34" i="1"/>
  <c r="F34" i="1"/>
  <c r="G34" i="1"/>
  <c r="H34" i="1"/>
  <c r="I34" i="1"/>
  <c r="J34" i="1"/>
  <c r="K34" i="1"/>
  <c r="L34" i="1"/>
  <c r="M34" i="1"/>
  <c r="N34" i="1"/>
  <c r="O34" i="1"/>
  <c r="D40" i="1"/>
  <c r="D34" i="1"/>
  <c r="G13" i="1"/>
  <c r="G151" i="1" s="1"/>
  <c r="I13" i="1"/>
  <c r="I151" i="1" s="1"/>
  <c r="O13" i="1"/>
  <c r="O151" i="1" s="1"/>
  <c r="I7" i="1"/>
  <c r="J7" i="1"/>
  <c r="K7" i="1"/>
  <c r="L7" i="1"/>
  <c r="M7" i="1"/>
  <c r="N7" i="1"/>
  <c r="O7" i="1"/>
  <c r="K203" i="1"/>
  <c r="K191" i="1"/>
  <c r="M191" i="1"/>
  <c r="K180" i="1"/>
  <c r="J180" i="1"/>
  <c r="F180" i="1"/>
  <c r="E180" i="1"/>
  <c r="N13" i="1"/>
  <c r="N151" i="1" s="1"/>
  <c r="M13" i="1"/>
  <c r="M151" i="1" s="1"/>
  <c r="L13" i="1"/>
  <c r="L151" i="1" s="1"/>
  <c r="K13" i="1"/>
  <c r="K151" i="1" s="1"/>
  <c r="J13" i="1"/>
  <c r="J151" i="1" s="1"/>
  <c r="H13" i="1"/>
  <c r="H151" i="1" s="1"/>
  <c r="F13" i="1"/>
  <c r="F151" i="1" s="1"/>
  <c r="E13" i="1"/>
  <c r="E151" i="1" s="1"/>
  <c r="H7" i="1"/>
  <c r="G7" i="1"/>
  <c r="F7" i="1"/>
  <c r="D7" i="1"/>
  <c r="F154" i="1"/>
  <c r="E154" i="1"/>
  <c r="D154" i="1"/>
  <c r="N159" i="1"/>
  <c r="M159" i="1"/>
  <c r="L159" i="1"/>
  <c r="K159" i="1"/>
  <c r="J159" i="1"/>
  <c r="H159" i="1"/>
  <c r="G159" i="1"/>
  <c r="F159" i="1"/>
  <c r="E159" i="1"/>
  <c r="D159" i="1"/>
  <c r="N215" i="1"/>
  <c r="M215" i="1"/>
  <c r="K215" i="1"/>
  <c r="J215" i="1"/>
  <c r="F215" i="1"/>
  <c r="D215" i="1"/>
  <c r="E171" i="1" l="1"/>
  <c r="C119" i="3" s="1"/>
  <c r="I203" i="3"/>
  <c r="C203" i="3"/>
  <c r="F171" i="1"/>
  <c r="D119" i="3" s="1"/>
  <c r="L171" i="1"/>
  <c r="J119" i="3" s="1"/>
  <c r="M171" i="1"/>
  <c r="K119" i="3" s="1"/>
  <c r="K171" i="1"/>
  <c r="I119" i="3" s="1"/>
  <c r="I171" i="1"/>
  <c r="G119" i="3" s="1"/>
  <c r="N171" i="1"/>
  <c r="L119" i="3" s="1"/>
  <c r="J171" i="1"/>
  <c r="H119" i="3" s="1"/>
  <c r="H171" i="1"/>
  <c r="F119" i="3" s="1"/>
  <c r="L201" i="3"/>
  <c r="E7" i="1"/>
  <c r="E215" i="1"/>
  <c r="G203" i="3"/>
  <c r="G202" i="3"/>
  <c r="J203" i="3"/>
  <c r="J202" i="3"/>
  <c r="B203" i="3"/>
  <c r="B202" i="3"/>
  <c r="F203" i="3"/>
  <c r="F202" i="3"/>
  <c r="H203" i="3"/>
  <c r="H202" i="3"/>
  <c r="L203" i="3"/>
  <c r="L202" i="3"/>
  <c r="D203" i="3"/>
  <c r="D202" i="3"/>
  <c r="K203" i="3"/>
  <c r="K202" i="3"/>
  <c r="C201" i="3"/>
  <c r="M201" i="3"/>
  <c r="K201" i="3"/>
  <c r="M195" i="1"/>
  <c r="J201" i="3"/>
  <c r="I201" i="3"/>
  <c r="K195" i="1"/>
  <c r="H201" i="3"/>
  <c r="G201" i="3"/>
  <c r="F201" i="3"/>
  <c r="E201" i="3"/>
  <c r="D201" i="3"/>
  <c r="D13" i="1"/>
  <c r="D151" i="1" s="1"/>
  <c r="I202" i="3" l="1"/>
  <c r="C202" i="3"/>
  <c r="D171" i="1"/>
  <c r="B119" i="3" s="1"/>
  <c r="B201" i="3"/>
  <c r="E203" i="3"/>
  <c r="E202" i="3"/>
  <c r="E160" i="1" l="1"/>
  <c r="C177" i="3" s="1"/>
  <c r="F160" i="1"/>
  <c r="D177" i="3" s="1"/>
  <c r="G160" i="1"/>
  <c r="E177" i="3" s="1"/>
  <c r="H160" i="1"/>
  <c r="F177" i="3" s="1"/>
  <c r="I160" i="1"/>
  <c r="G177" i="3" s="1"/>
  <c r="J160" i="1"/>
  <c r="H177" i="3" s="1"/>
  <c r="K160" i="1"/>
  <c r="I177" i="3" s="1"/>
  <c r="L160" i="1"/>
  <c r="J177" i="3" s="1"/>
  <c r="M160" i="1"/>
  <c r="K177" i="3" s="1"/>
  <c r="N160" i="1"/>
  <c r="L177" i="3" s="1"/>
  <c r="O160" i="1"/>
  <c r="M177" i="3" s="1"/>
  <c r="D160" i="1"/>
  <c r="B177" i="3" s="1"/>
  <c r="K104" i="1"/>
  <c r="I98" i="3" s="1"/>
  <c r="I104" i="1"/>
  <c r="G98" i="3" s="1"/>
  <c r="E104" i="1"/>
  <c r="C98" i="3" s="1"/>
  <c r="D104" i="1"/>
  <c r="B98" i="3" s="1"/>
  <c r="O104" i="1"/>
  <c r="M98" i="3" s="1"/>
  <c r="N104" i="1"/>
  <c r="L98" i="3" s="1"/>
  <c r="M104" i="1"/>
  <c r="K98" i="3" s="1"/>
  <c r="L104" i="1"/>
  <c r="J98" i="3" s="1"/>
  <c r="J104" i="1"/>
  <c r="H98" i="3" s="1"/>
  <c r="H104" i="1"/>
  <c r="F98" i="3" s="1"/>
  <c r="G104" i="1"/>
  <c r="E98" i="3" s="1"/>
  <c r="F104" i="1"/>
  <c r="D98" i="3" s="1"/>
  <c r="E91" i="1"/>
  <c r="C47" i="3" s="1"/>
  <c r="F91" i="1"/>
  <c r="D47" i="3" s="1"/>
  <c r="G91" i="1"/>
  <c r="E47" i="3" s="1"/>
  <c r="H91" i="1"/>
  <c r="F47" i="3" s="1"/>
  <c r="I91" i="1"/>
  <c r="G47" i="3" s="1"/>
  <c r="J91" i="1"/>
  <c r="H47" i="3" s="1"/>
  <c r="K91" i="1"/>
  <c r="I47" i="3" s="1"/>
  <c r="L91" i="1"/>
  <c r="J47" i="3" s="1"/>
  <c r="M91" i="1"/>
  <c r="K47" i="3" s="1"/>
  <c r="N91" i="1"/>
  <c r="L47" i="3" s="1"/>
  <c r="O91" i="1"/>
  <c r="M47" i="3" s="1"/>
  <c r="D91" i="1"/>
  <c r="B47" i="3" s="1"/>
  <c r="D78" i="1"/>
  <c r="E78" i="1" s="1"/>
  <c r="F78" i="1" s="1"/>
  <c r="G78" i="1" s="1"/>
  <c r="H78" i="1" s="1"/>
  <c r="I78" i="1" s="1"/>
  <c r="J78" i="1" s="1"/>
  <c r="K78" i="1" s="1"/>
  <c r="L78" i="1" s="1"/>
  <c r="M78" i="1" s="1"/>
  <c r="N78" i="1" s="1"/>
  <c r="O78" i="1" s="1"/>
  <c r="D77" i="1"/>
  <c r="E77" i="1" s="1"/>
  <c r="O75" i="1"/>
  <c r="N75" i="1"/>
  <c r="M75" i="1"/>
  <c r="L75" i="1"/>
  <c r="K75" i="1"/>
  <c r="J75" i="1"/>
  <c r="I75" i="1"/>
  <c r="H75" i="1"/>
  <c r="G75" i="1"/>
  <c r="F75" i="1"/>
  <c r="E75" i="1"/>
  <c r="D75" i="1"/>
  <c r="D45" i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D44" i="1"/>
  <c r="E44" i="1" s="1"/>
  <c r="O42" i="1"/>
  <c r="N42" i="1"/>
  <c r="M42" i="1"/>
  <c r="L42" i="1"/>
  <c r="K42" i="1"/>
  <c r="J42" i="1"/>
  <c r="I42" i="1"/>
  <c r="H42" i="1"/>
  <c r="G42" i="1"/>
  <c r="F42" i="1"/>
  <c r="E42" i="1"/>
  <c r="D42" i="1"/>
  <c r="D51" i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D50" i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D39" i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D38" i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E97" i="1"/>
  <c r="C70" i="3" s="1"/>
  <c r="F97" i="1"/>
  <c r="D70" i="3" s="1"/>
  <c r="G97" i="1"/>
  <c r="E70" i="3" s="1"/>
  <c r="H97" i="1"/>
  <c r="F70" i="3" s="1"/>
  <c r="I97" i="1"/>
  <c r="G70" i="3" s="1"/>
  <c r="J97" i="1"/>
  <c r="H70" i="3" s="1"/>
  <c r="K97" i="1"/>
  <c r="I70" i="3" s="1"/>
  <c r="L97" i="1"/>
  <c r="J70" i="3" s="1"/>
  <c r="M97" i="1"/>
  <c r="K70" i="3" s="1"/>
  <c r="N97" i="1"/>
  <c r="L70" i="3" s="1"/>
  <c r="O97" i="1"/>
  <c r="M70" i="3" s="1"/>
  <c r="D97" i="1"/>
  <c r="B70" i="3" s="1"/>
  <c r="E95" i="1"/>
  <c r="C69" i="3" s="1"/>
  <c r="F95" i="1"/>
  <c r="D69" i="3" s="1"/>
  <c r="G95" i="1"/>
  <c r="E69" i="3" s="1"/>
  <c r="H95" i="1"/>
  <c r="F69" i="3" s="1"/>
  <c r="I95" i="1"/>
  <c r="G69" i="3" s="1"/>
  <c r="J95" i="1"/>
  <c r="H69" i="3" s="1"/>
  <c r="K95" i="1"/>
  <c r="I69" i="3" s="1"/>
  <c r="L95" i="1"/>
  <c r="J69" i="3" s="1"/>
  <c r="M95" i="1"/>
  <c r="K69" i="3" s="1"/>
  <c r="N95" i="1"/>
  <c r="L69" i="3" s="1"/>
  <c r="O95" i="1"/>
  <c r="M69" i="3" s="1"/>
  <c r="D95" i="1"/>
  <c r="B69" i="3" s="1"/>
  <c r="E31" i="1"/>
  <c r="C4" i="3" s="1"/>
  <c r="F31" i="1"/>
  <c r="D4" i="3" s="1"/>
  <c r="G31" i="1"/>
  <c r="E4" i="3" s="1"/>
  <c r="H31" i="1"/>
  <c r="F4" i="3" s="1"/>
  <c r="I31" i="1"/>
  <c r="G4" i="3" s="1"/>
  <c r="J31" i="1"/>
  <c r="H4" i="3" s="1"/>
  <c r="K31" i="1"/>
  <c r="I4" i="3" s="1"/>
  <c r="L31" i="1"/>
  <c r="J4" i="3" s="1"/>
  <c r="M31" i="1"/>
  <c r="K4" i="3" s="1"/>
  <c r="N31" i="1"/>
  <c r="L4" i="3" s="1"/>
  <c r="O31" i="1"/>
  <c r="M4" i="3" s="1"/>
  <c r="D31" i="1"/>
  <c r="B4" i="3" s="1"/>
  <c r="D24" i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D23" i="1"/>
  <c r="E23" i="1" s="1"/>
  <c r="O21" i="1"/>
  <c r="N21" i="1"/>
  <c r="M21" i="1"/>
  <c r="L21" i="1"/>
  <c r="K21" i="1"/>
  <c r="J21" i="1"/>
  <c r="I21" i="1"/>
  <c r="H21" i="1"/>
  <c r="G21" i="1"/>
  <c r="F21" i="1"/>
  <c r="E21" i="1"/>
  <c r="D21" i="1"/>
  <c r="D43" i="1" l="1"/>
  <c r="D76" i="1"/>
  <c r="F77" i="1"/>
  <c r="E76" i="1"/>
  <c r="F44" i="1"/>
  <c r="E43" i="1"/>
  <c r="D22" i="1"/>
  <c r="F23" i="1"/>
  <c r="E22" i="1"/>
  <c r="F76" i="1" l="1"/>
  <c r="G77" i="1"/>
  <c r="G44" i="1"/>
  <c r="F43" i="1"/>
  <c r="G23" i="1"/>
  <c r="F22" i="1"/>
  <c r="H77" i="1" l="1"/>
  <c r="G76" i="1"/>
  <c r="H44" i="1"/>
  <c r="G43" i="1"/>
  <c r="H23" i="1"/>
  <c r="G22" i="1"/>
  <c r="I77" i="1" l="1"/>
  <c r="H76" i="1"/>
  <c r="I44" i="1"/>
  <c r="H43" i="1"/>
  <c r="I23" i="1"/>
  <c r="H22" i="1"/>
  <c r="I76" i="1" l="1"/>
  <c r="J77" i="1"/>
  <c r="J44" i="1"/>
  <c r="I43" i="1"/>
  <c r="J23" i="1"/>
  <c r="I22" i="1"/>
  <c r="K77" i="1" l="1"/>
  <c r="J76" i="1"/>
  <c r="K44" i="1"/>
  <c r="J43" i="1"/>
  <c r="K23" i="1"/>
  <c r="J22" i="1"/>
  <c r="L77" i="1" l="1"/>
  <c r="K76" i="1"/>
  <c r="L44" i="1"/>
  <c r="K43" i="1"/>
  <c r="K22" i="1"/>
  <c r="L23" i="1"/>
  <c r="M77" i="1" l="1"/>
  <c r="L76" i="1"/>
  <c r="M44" i="1"/>
  <c r="L43" i="1"/>
  <c r="M23" i="1"/>
  <c r="L22" i="1"/>
  <c r="N77" i="1" l="1"/>
  <c r="M76" i="1"/>
  <c r="N44" i="1"/>
  <c r="M43" i="1"/>
  <c r="N23" i="1"/>
  <c r="M22" i="1"/>
  <c r="N76" i="1" l="1"/>
  <c r="O77" i="1"/>
  <c r="O76" i="1" s="1"/>
  <c r="O44" i="1"/>
  <c r="O43" i="1" s="1"/>
  <c r="N43" i="1"/>
  <c r="O23" i="1"/>
  <c r="O22" i="1" s="1"/>
  <c r="N22" i="1"/>
  <c r="M161" i="1" l="1"/>
  <c r="K176" i="3" s="1"/>
  <c r="N161" i="1"/>
  <c r="L176" i="3" s="1"/>
  <c r="O161" i="1"/>
  <c r="M176" i="3" s="1"/>
  <c r="K161" i="1" l="1"/>
  <c r="I176" i="3" s="1"/>
  <c r="L161" i="1"/>
  <c r="J176" i="3" s="1"/>
  <c r="E161" i="1" l="1"/>
  <c r="C176" i="3" s="1"/>
  <c r="F161" i="1"/>
  <c r="D176" i="3" s="1"/>
  <c r="G161" i="1"/>
  <c r="E176" i="3" s="1"/>
  <c r="H161" i="1"/>
  <c r="F176" i="3" s="1"/>
  <c r="I161" i="1"/>
  <c r="G176" i="3" s="1"/>
  <c r="J161" i="1"/>
  <c r="H176" i="3" s="1"/>
  <c r="D161" i="1"/>
  <c r="B176" i="3" s="1"/>
  <c r="D168" i="1" l="1"/>
  <c r="E168" i="1" s="1"/>
  <c r="F168" i="1" s="1"/>
  <c r="G168" i="1" s="1"/>
  <c r="H168" i="1" s="1"/>
  <c r="I168" i="1" s="1"/>
  <c r="J168" i="1" s="1"/>
  <c r="K168" i="1" s="1"/>
  <c r="L168" i="1" s="1"/>
  <c r="M168" i="1" s="1"/>
  <c r="N168" i="1" s="1"/>
  <c r="O168" i="1" s="1"/>
  <c r="E52" i="1" l="1"/>
  <c r="C25" i="3" s="1"/>
  <c r="F52" i="1"/>
  <c r="D25" i="3" s="1"/>
  <c r="G52" i="1"/>
  <c r="E25" i="3" s="1"/>
  <c r="H52" i="1"/>
  <c r="F25" i="3" s="1"/>
  <c r="I52" i="1"/>
  <c r="G25" i="3" s="1"/>
  <c r="J52" i="1"/>
  <c r="H25" i="3" s="1"/>
  <c r="K52" i="1"/>
  <c r="I25" i="3" s="1"/>
  <c r="L52" i="1"/>
  <c r="J25" i="3" s="1"/>
  <c r="M52" i="1"/>
  <c r="K25" i="3" s="1"/>
  <c r="N52" i="1"/>
  <c r="L25" i="3" s="1"/>
  <c r="O52" i="1"/>
  <c r="M25" i="3" s="1"/>
  <c r="D52" i="1"/>
  <c r="B25" i="3" s="1"/>
  <c r="E48" i="1"/>
  <c r="F48" i="1"/>
  <c r="G48" i="1"/>
  <c r="H48" i="1"/>
  <c r="I48" i="1"/>
  <c r="J48" i="1"/>
  <c r="K48" i="1"/>
  <c r="L48" i="1"/>
  <c r="M48" i="1"/>
  <c r="N48" i="1"/>
  <c r="O48" i="1"/>
  <c r="E49" i="1"/>
  <c r="F49" i="1"/>
  <c r="G49" i="1"/>
  <c r="H49" i="1"/>
  <c r="I49" i="1"/>
  <c r="J49" i="1"/>
  <c r="K49" i="1"/>
  <c r="L49" i="1"/>
  <c r="M49" i="1"/>
  <c r="N49" i="1"/>
  <c r="O49" i="1"/>
  <c r="D49" i="1"/>
  <c r="D48" i="1"/>
  <c r="E36" i="1"/>
  <c r="F36" i="1"/>
  <c r="G36" i="1"/>
  <c r="H36" i="1"/>
  <c r="I36" i="1"/>
  <c r="J36" i="1"/>
  <c r="K36" i="1"/>
  <c r="L36" i="1"/>
  <c r="M36" i="1"/>
  <c r="N36" i="1"/>
  <c r="O36" i="1"/>
  <c r="E37" i="1"/>
  <c r="F37" i="1"/>
  <c r="G37" i="1"/>
  <c r="H37" i="1"/>
  <c r="I37" i="1"/>
  <c r="J37" i="1"/>
  <c r="K37" i="1"/>
  <c r="L37" i="1"/>
  <c r="M37" i="1"/>
  <c r="N37" i="1"/>
  <c r="O37" i="1"/>
  <c r="D37" i="1"/>
  <c r="D36" i="1"/>
  <c r="J207" i="1" l="1"/>
  <c r="K207" i="1"/>
  <c r="L207" i="1"/>
  <c r="M207" i="1"/>
  <c r="N207" i="1"/>
  <c r="O207" i="1"/>
  <c r="J208" i="1"/>
  <c r="K208" i="1"/>
  <c r="L208" i="1"/>
  <c r="M208" i="1"/>
  <c r="N208" i="1"/>
  <c r="O208" i="1"/>
  <c r="J209" i="1"/>
  <c r="K209" i="1"/>
  <c r="L209" i="1"/>
  <c r="M209" i="1"/>
  <c r="N209" i="1"/>
  <c r="O209" i="1"/>
  <c r="J210" i="1"/>
  <c r="K210" i="1"/>
  <c r="L210" i="1"/>
  <c r="M210" i="1"/>
  <c r="N210" i="1"/>
  <c r="O210" i="1"/>
  <c r="K170" i="1"/>
  <c r="L170" i="1"/>
  <c r="M170" i="1"/>
  <c r="N170" i="1"/>
  <c r="O170" i="1"/>
  <c r="D189" i="1"/>
  <c r="E189" i="1" s="1"/>
  <c r="F189" i="1" s="1"/>
  <c r="G189" i="1" s="1"/>
  <c r="H189" i="1" s="1"/>
  <c r="I189" i="1" s="1"/>
  <c r="J189" i="1" s="1"/>
  <c r="K189" i="1" s="1"/>
  <c r="L189" i="1" s="1"/>
  <c r="M189" i="1" s="1"/>
  <c r="N189" i="1" s="1"/>
  <c r="O189" i="1" s="1"/>
  <c r="J179" i="1"/>
  <c r="J177" i="1"/>
  <c r="J175" i="1"/>
  <c r="J173" i="1"/>
  <c r="E170" i="1"/>
  <c r="F170" i="1"/>
  <c r="G170" i="1"/>
  <c r="H170" i="1"/>
  <c r="I170" i="1"/>
  <c r="J170" i="1"/>
  <c r="D170" i="1"/>
  <c r="D114" i="1"/>
  <c r="D113" i="1"/>
  <c r="D12" i="1"/>
  <c r="D11" i="1"/>
  <c r="E182" i="1"/>
  <c r="F182" i="1"/>
  <c r="G182" i="1"/>
  <c r="H182" i="1"/>
  <c r="I182" i="1"/>
  <c r="J182" i="1"/>
  <c r="K182" i="1"/>
  <c r="L182" i="1"/>
  <c r="M182" i="1"/>
  <c r="N182" i="1"/>
  <c r="O182" i="1"/>
  <c r="D182" i="1"/>
  <c r="J212" i="1" l="1"/>
  <c r="N212" i="1"/>
  <c r="O212" i="1"/>
  <c r="M212" i="1"/>
  <c r="K212" i="1"/>
  <c r="L212" i="1"/>
  <c r="O211" i="1"/>
  <c r="N211" i="1"/>
  <c r="M211" i="1"/>
  <c r="L211" i="1"/>
  <c r="K211" i="1"/>
  <c r="J211" i="1"/>
  <c r="D144" i="1" l="1"/>
  <c r="E144" i="1" s="1"/>
  <c r="F144" i="1" s="1"/>
  <c r="G144" i="1" s="1"/>
  <c r="H144" i="1" s="1"/>
  <c r="I144" i="1" s="1"/>
  <c r="J144" i="1" s="1"/>
  <c r="K144" i="1" s="1"/>
  <c r="L144" i="1" s="1"/>
  <c r="M144" i="1" s="1"/>
  <c r="N144" i="1" s="1"/>
  <c r="O144" i="1" s="1"/>
  <c r="D143" i="1"/>
  <c r="E143" i="1" s="1"/>
  <c r="F143" i="1" s="1"/>
  <c r="G143" i="1" s="1"/>
  <c r="H143" i="1" s="1"/>
  <c r="I143" i="1" s="1"/>
  <c r="J143" i="1" s="1"/>
  <c r="K143" i="1" s="1"/>
  <c r="L143" i="1" s="1"/>
  <c r="M143" i="1" s="1"/>
  <c r="N143" i="1" s="1"/>
  <c r="O143" i="1" s="1"/>
  <c r="D132" i="1"/>
  <c r="E132" i="1" s="1"/>
  <c r="F132" i="1" s="1"/>
  <c r="G132" i="1" s="1"/>
  <c r="H132" i="1" s="1"/>
  <c r="I132" i="1" s="1"/>
  <c r="J132" i="1" s="1"/>
  <c r="K132" i="1" s="1"/>
  <c r="L132" i="1" s="1"/>
  <c r="M132" i="1" s="1"/>
  <c r="N132" i="1" s="1"/>
  <c r="O132" i="1" s="1"/>
  <c r="D131" i="1"/>
  <c r="E131" i="1" s="1"/>
  <c r="F131" i="1" s="1"/>
  <c r="G131" i="1" s="1"/>
  <c r="H131" i="1" s="1"/>
  <c r="I131" i="1" s="1"/>
  <c r="J131" i="1" s="1"/>
  <c r="K131" i="1" s="1"/>
  <c r="L131" i="1" s="1"/>
  <c r="M131" i="1" s="1"/>
  <c r="N131" i="1" s="1"/>
  <c r="O131" i="1" s="1"/>
  <c r="D126" i="1"/>
  <c r="E126" i="1" s="1"/>
  <c r="F126" i="1" s="1"/>
  <c r="G126" i="1" s="1"/>
  <c r="H126" i="1" s="1"/>
  <c r="I126" i="1" s="1"/>
  <c r="J126" i="1" s="1"/>
  <c r="K126" i="1" s="1"/>
  <c r="L126" i="1" s="1"/>
  <c r="M126" i="1" s="1"/>
  <c r="N126" i="1" s="1"/>
  <c r="O126" i="1" s="1"/>
  <c r="D125" i="1"/>
  <c r="E125" i="1" s="1"/>
  <c r="F125" i="1" s="1"/>
  <c r="G125" i="1" s="1"/>
  <c r="H125" i="1" s="1"/>
  <c r="I125" i="1" s="1"/>
  <c r="J125" i="1" s="1"/>
  <c r="K125" i="1" s="1"/>
  <c r="L125" i="1" s="1"/>
  <c r="M125" i="1" s="1"/>
  <c r="N125" i="1" s="1"/>
  <c r="O125" i="1" s="1"/>
  <c r="D120" i="1"/>
  <c r="E120" i="1" s="1"/>
  <c r="F120" i="1" s="1"/>
  <c r="G120" i="1" s="1"/>
  <c r="H120" i="1" s="1"/>
  <c r="I120" i="1" s="1"/>
  <c r="J120" i="1" s="1"/>
  <c r="K120" i="1" s="1"/>
  <c r="L120" i="1" s="1"/>
  <c r="M120" i="1" s="1"/>
  <c r="N120" i="1" s="1"/>
  <c r="O120" i="1" s="1"/>
  <c r="D119" i="1"/>
  <c r="E119" i="1" s="1"/>
  <c r="F119" i="1" s="1"/>
  <c r="G119" i="1" s="1"/>
  <c r="H119" i="1" s="1"/>
  <c r="I119" i="1" s="1"/>
  <c r="J119" i="1" s="1"/>
  <c r="K119" i="1" s="1"/>
  <c r="L119" i="1" s="1"/>
  <c r="M119" i="1" s="1"/>
  <c r="N119" i="1" s="1"/>
  <c r="O119" i="1" s="1"/>
  <c r="D84" i="1"/>
  <c r="E84" i="1" s="1"/>
  <c r="F84" i="1" s="1"/>
  <c r="G84" i="1" s="1"/>
  <c r="H84" i="1" s="1"/>
  <c r="I84" i="1" s="1"/>
  <c r="J84" i="1" s="1"/>
  <c r="K84" i="1" s="1"/>
  <c r="L84" i="1" s="1"/>
  <c r="M84" i="1" s="1"/>
  <c r="N84" i="1" s="1"/>
  <c r="O84" i="1" s="1"/>
  <c r="D83" i="1"/>
  <c r="E83" i="1" s="1"/>
  <c r="F83" i="1" s="1"/>
  <c r="G83" i="1" s="1"/>
  <c r="H83" i="1" s="1"/>
  <c r="I83" i="1" s="1"/>
  <c r="J83" i="1" s="1"/>
  <c r="K83" i="1" s="1"/>
  <c r="L83" i="1" s="1"/>
  <c r="M83" i="1" s="1"/>
  <c r="N83" i="1" s="1"/>
  <c r="O83" i="1" s="1"/>
  <c r="D72" i="1"/>
  <c r="D71" i="1"/>
  <c r="D66" i="1"/>
  <c r="E66" i="1" s="1"/>
  <c r="F66" i="1" s="1"/>
  <c r="G66" i="1" s="1"/>
  <c r="H66" i="1" s="1"/>
  <c r="I66" i="1" s="1"/>
  <c r="J66" i="1" s="1"/>
  <c r="K66" i="1" s="1"/>
  <c r="L66" i="1" s="1"/>
  <c r="M66" i="1" s="1"/>
  <c r="N66" i="1" s="1"/>
  <c r="O66" i="1" s="1"/>
  <c r="D65" i="1"/>
  <c r="E65" i="1" s="1"/>
  <c r="F65" i="1" s="1"/>
  <c r="G65" i="1" s="1"/>
  <c r="H65" i="1" s="1"/>
  <c r="I65" i="1" s="1"/>
  <c r="J65" i="1" s="1"/>
  <c r="K65" i="1" s="1"/>
  <c r="L65" i="1" s="1"/>
  <c r="M65" i="1" s="1"/>
  <c r="N65" i="1" s="1"/>
  <c r="O65" i="1" s="1"/>
  <c r="D59" i="1"/>
  <c r="E59" i="1" s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E71" i="1" l="1"/>
  <c r="F71" i="1" s="1"/>
  <c r="D92" i="1"/>
  <c r="E72" i="1"/>
  <c r="F72" i="1" s="1"/>
  <c r="G158" i="1"/>
  <c r="G157" i="1"/>
  <c r="E175" i="3" s="1"/>
  <c r="F158" i="1"/>
  <c r="F157" i="1"/>
  <c r="D175" i="3" s="1"/>
  <c r="E158" i="1"/>
  <c r="E157" i="1"/>
  <c r="C175" i="3" s="1"/>
  <c r="D158" i="1"/>
  <c r="D157" i="1"/>
  <c r="B175" i="3" s="1"/>
  <c r="D156" i="1"/>
  <c r="E156" i="1" s="1"/>
  <c r="F156" i="1" s="1"/>
  <c r="G156" i="1" s="1"/>
  <c r="H156" i="1" s="1"/>
  <c r="I156" i="1" s="1"/>
  <c r="J156" i="1" s="1"/>
  <c r="K156" i="1" s="1"/>
  <c r="L156" i="1" s="1"/>
  <c r="M156" i="1" s="1"/>
  <c r="N156" i="1" s="1"/>
  <c r="O156" i="1" s="1"/>
  <c r="G111" i="1"/>
  <c r="F111" i="1"/>
  <c r="E114" i="1"/>
  <c r="F114" i="1" s="1"/>
  <c r="G114" i="1" s="1"/>
  <c r="H114" i="1" s="1"/>
  <c r="I114" i="1" s="1"/>
  <c r="J114" i="1" s="1"/>
  <c r="K114" i="1" s="1"/>
  <c r="L114" i="1" s="1"/>
  <c r="M114" i="1" s="1"/>
  <c r="N114" i="1" s="1"/>
  <c r="O114" i="1" s="1"/>
  <c r="E113" i="1"/>
  <c r="E111" i="1"/>
  <c r="D112" i="1"/>
  <c r="D111" i="1"/>
  <c r="F9" i="1"/>
  <c r="E12" i="1"/>
  <c r="F12" i="1" s="1"/>
  <c r="E11" i="1"/>
  <c r="E9" i="1"/>
  <c r="D10" i="1"/>
  <c r="D9" i="1"/>
  <c r="E92" i="1" l="1"/>
  <c r="G72" i="1"/>
  <c r="G70" i="1" s="1"/>
  <c r="G71" i="1"/>
  <c r="G86" i="1" s="1"/>
  <c r="F92" i="1"/>
  <c r="E112" i="1"/>
  <c r="E10" i="1"/>
  <c r="F11" i="1"/>
  <c r="F10" i="1" s="1"/>
  <c r="F113" i="1"/>
  <c r="I210" i="1"/>
  <c r="H210" i="1"/>
  <c r="G210" i="1"/>
  <c r="F210" i="1"/>
  <c r="E210" i="1"/>
  <c r="D210" i="1"/>
  <c r="I209" i="1"/>
  <c r="H209" i="1"/>
  <c r="G209" i="1"/>
  <c r="F209" i="1"/>
  <c r="E209" i="1"/>
  <c r="D209" i="1"/>
  <c r="I208" i="1"/>
  <c r="H208" i="1"/>
  <c r="G208" i="1"/>
  <c r="F208" i="1"/>
  <c r="E208" i="1"/>
  <c r="D208" i="1"/>
  <c r="O214" i="1"/>
  <c r="M145" i="3" s="1"/>
  <c r="N214" i="1"/>
  <c r="L145" i="3" s="1"/>
  <c r="M214" i="1"/>
  <c r="K145" i="3" s="1"/>
  <c r="K214" i="1"/>
  <c r="I145" i="3" s="1"/>
  <c r="J214" i="1"/>
  <c r="H145" i="3" s="1"/>
  <c r="I207" i="1"/>
  <c r="I214" i="1" s="1"/>
  <c r="G145" i="3" s="1"/>
  <c r="H207" i="1"/>
  <c r="H214" i="1" s="1"/>
  <c r="F145" i="3" s="1"/>
  <c r="G207" i="1"/>
  <c r="G214" i="1" s="1"/>
  <c r="E145" i="3" s="1"/>
  <c r="F207" i="1"/>
  <c r="F214" i="1" s="1"/>
  <c r="D145" i="3" s="1"/>
  <c r="E207" i="1"/>
  <c r="E214" i="1" s="1"/>
  <c r="C145" i="3" s="1"/>
  <c r="D207" i="1"/>
  <c r="D214" i="1" s="1"/>
  <c r="B145" i="3" s="1"/>
  <c r="O205" i="1"/>
  <c r="O206" i="1" s="1"/>
  <c r="N205" i="1"/>
  <c r="N206" i="1" s="1"/>
  <c r="M205" i="1"/>
  <c r="M206" i="1" s="1"/>
  <c r="L205" i="1"/>
  <c r="L206" i="1" s="1"/>
  <c r="K205" i="1"/>
  <c r="K206" i="1" s="1"/>
  <c r="J205" i="1"/>
  <c r="J206" i="1" s="1"/>
  <c r="I205" i="1"/>
  <c r="I206" i="1" s="1"/>
  <c r="H205" i="1"/>
  <c r="H206" i="1" s="1"/>
  <c r="G205" i="1"/>
  <c r="G206" i="1" s="1"/>
  <c r="F205" i="1"/>
  <c r="F206" i="1" s="1"/>
  <c r="E205" i="1"/>
  <c r="E206" i="1" s="1"/>
  <c r="D205" i="1"/>
  <c r="D206" i="1" s="1"/>
  <c r="O201" i="1"/>
  <c r="O202" i="1" s="1"/>
  <c r="N201" i="1"/>
  <c r="N202" i="1" s="1"/>
  <c r="M201" i="1"/>
  <c r="M202" i="1" s="1"/>
  <c r="L201" i="1"/>
  <c r="L202" i="1" s="1"/>
  <c r="K201" i="1"/>
  <c r="K202" i="1" s="1"/>
  <c r="J201" i="1"/>
  <c r="J202" i="1" s="1"/>
  <c r="I201" i="1"/>
  <c r="I202" i="1" s="1"/>
  <c r="H201" i="1"/>
  <c r="H202" i="1" s="1"/>
  <c r="G201" i="1"/>
  <c r="G202" i="1" s="1"/>
  <c r="F201" i="1"/>
  <c r="F202" i="1" s="1"/>
  <c r="E201" i="1"/>
  <c r="E202" i="1" s="1"/>
  <c r="D201" i="1"/>
  <c r="D202" i="1" s="1"/>
  <c r="O197" i="1"/>
  <c r="O198" i="1" s="1"/>
  <c r="N197" i="1"/>
  <c r="N198" i="1" s="1"/>
  <c r="M197" i="1"/>
  <c r="M198" i="1" s="1"/>
  <c r="L197" i="1"/>
  <c r="L198" i="1" s="1"/>
  <c r="K197" i="1"/>
  <c r="K198" i="1" s="1"/>
  <c r="J197" i="1"/>
  <c r="J198" i="1" s="1"/>
  <c r="I197" i="1"/>
  <c r="I198" i="1" s="1"/>
  <c r="H197" i="1"/>
  <c r="H198" i="1" s="1"/>
  <c r="G197" i="1"/>
  <c r="G198" i="1" s="1"/>
  <c r="F197" i="1"/>
  <c r="F198" i="1" s="1"/>
  <c r="E197" i="1"/>
  <c r="E198" i="1" s="1"/>
  <c r="D197" i="1"/>
  <c r="D198" i="1" s="1"/>
  <c r="O193" i="1"/>
  <c r="O194" i="1" s="1"/>
  <c r="N193" i="1"/>
  <c r="N194" i="1" s="1"/>
  <c r="M193" i="1"/>
  <c r="M194" i="1" s="1"/>
  <c r="L193" i="1"/>
  <c r="L194" i="1" s="1"/>
  <c r="K193" i="1"/>
  <c r="K194" i="1" s="1"/>
  <c r="J193" i="1"/>
  <c r="J194" i="1" s="1"/>
  <c r="I193" i="1"/>
  <c r="I194" i="1" s="1"/>
  <c r="H193" i="1"/>
  <c r="H194" i="1" s="1"/>
  <c r="G193" i="1"/>
  <c r="G194" i="1" s="1"/>
  <c r="F193" i="1"/>
  <c r="F194" i="1" s="1"/>
  <c r="E193" i="1"/>
  <c r="E194" i="1" s="1"/>
  <c r="D193" i="1"/>
  <c r="D194" i="1" s="1"/>
  <c r="D186" i="1"/>
  <c r="E186" i="1" s="1"/>
  <c r="F186" i="1" s="1"/>
  <c r="G186" i="1" s="1"/>
  <c r="H186" i="1" s="1"/>
  <c r="I186" i="1" s="1"/>
  <c r="J186" i="1" s="1"/>
  <c r="K186" i="1" s="1"/>
  <c r="L186" i="1" s="1"/>
  <c r="M186" i="1" s="1"/>
  <c r="N186" i="1" s="1"/>
  <c r="O186" i="1" s="1"/>
  <c r="O179" i="1"/>
  <c r="N179" i="1"/>
  <c r="M179" i="1"/>
  <c r="L179" i="1"/>
  <c r="K179" i="1"/>
  <c r="I179" i="1"/>
  <c r="H179" i="1"/>
  <c r="G179" i="1"/>
  <c r="F179" i="1"/>
  <c r="E179" i="1"/>
  <c r="D179" i="1"/>
  <c r="O177" i="1"/>
  <c r="N177" i="1"/>
  <c r="M177" i="1"/>
  <c r="L177" i="1"/>
  <c r="K177" i="1"/>
  <c r="I177" i="1"/>
  <c r="H177" i="1"/>
  <c r="G177" i="1"/>
  <c r="F177" i="1"/>
  <c r="E177" i="1"/>
  <c r="D177" i="1"/>
  <c r="O175" i="1"/>
  <c r="N175" i="1"/>
  <c r="M175" i="1"/>
  <c r="L175" i="1"/>
  <c r="K175" i="1"/>
  <c r="I175" i="1"/>
  <c r="H175" i="1"/>
  <c r="G175" i="1"/>
  <c r="F175" i="1"/>
  <c r="E175" i="1"/>
  <c r="D175" i="1"/>
  <c r="O173" i="1"/>
  <c r="N173" i="1"/>
  <c r="M173" i="1"/>
  <c r="L173" i="1"/>
  <c r="K173" i="1"/>
  <c r="I173" i="1"/>
  <c r="H173" i="1"/>
  <c r="G173" i="1"/>
  <c r="F173" i="1"/>
  <c r="E173" i="1"/>
  <c r="D173" i="1"/>
  <c r="D165" i="1"/>
  <c r="E165" i="1" s="1"/>
  <c r="F165" i="1" s="1"/>
  <c r="G165" i="1" s="1"/>
  <c r="D163" i="1"/>
  <c r="E163" i="1" s="1"/>
  <c r="F163" i="1" s="1"/>
  <c r="G163" i="1" s="1"/>
  <c r="H163" i="1" s="1"/>
  <c r="I163" i="1" s="1"/>
  <c r="J163" i="1" s="1"/>
  <c r="K163" i="1" s="1"/>
  <c r="L163" i="1" s="1"/>
  <c r="M163" i="1" s="1"/>
  <c r="N163" i="1" s="1"/>
  <c r="O163" i="1" s="1"/>
  <c r="O158" i="1"/>
  <c r="N158" i="1"/>
  <c r="M158" i="1"/>
  <c r="L158" i="1"/>
  <c r="K158" i="1"/>
  <c r="J158" i="1"/>
  <c r="I158" i="1"/>
  <c r="H158" i="1"/>
  <c r="O157" i="1"/>
  <c r="M175" i="3" s="1"/>
  <c r="N157" i="1"/>
  <c r="L175" i="3" s="1"/>
  <c r="M157" i="1"/>
  <c r="K175" i="3" s="1"/>
  <c r="L157" i="1"/>
  <c r="J175" i="3" s="1"/>
  <c r="K157" i="1"/>
  <c r="I175" i="3" s="1"/>
  <c r="I157" i="1"/>
  <c r="G175" i="3" s="1"/>
  <c r="H157" i="1"/>
  <c r="F175" i="3" s="1"/>
  <c r="D150" i="1"/>
  <c r="E150" i="1" s="1"/>
  <c r="F150" i="1" s="1"/>
  <c r="G150" i="1" s="1"/>
  <c r="H150" i="1" s="1"/>
  <c r="I150" i="1" s="1"/>
  <c r="J150" i="1" s="1"/>
  <c r="K150" i="1" s="1"/>
  <c r="L150" i="1" s="1"/>
  <c r="M150" i="1" s="1"/>
  <c r="N150" i="1" s="1"/>
  <c r="O150" i="1" s="1"/>
  <c r="D149" i="1"/>
  <c r="E149" i="1" s="1"/>
  <c r="O147" i="1"/>
  <c r="N147" i="1"/>
  <c r="M147" i="1"/>
  <c r="L147" i="1"/>
  <c r="K147" i="1"/>
  <c r="J147" i="1"/>
  <c r="I147" i="1"/>
  <c r="H147" i="1"/>
  <c r="G147" i="1"/>
  <c r="F147" i="1"/>
  <c r="E147" i="1"/>
  <c r="D147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D138" i="1"/>
  <c r="E138" i="1" s="1"/>
  <c r="F138" i="1" s="1"/>
  <c r="G138" i="1" s="1"/>
  <c r="H138" i="1" s="1"/>
  <c r="I138" i="1" s="1"/>
  <c r="J138" i="1" s="1"/>
  <c r="K138" i="1" s="1"/>
  <c r="L138" i="1" s="1"/>
  <c r="M138" i="1" s="1"/>
  <c r="N138" i="1" s="1"/>
  <c r="O138" i="1" s="1"/>
  <c r="D137" i="1"/>
  <c r="E137" i="1" s="1"/>
  <c r="O135" i="1"/>
  <c r="N135" i="1"/>
  <c r="M135" i="1"/>
  <c r="L135" i="1"/>
  <c r="K135" i="1"/>
  <c r="J135" i="1"/>
  <c r="I135" i="1"/>
  <c r="H135" i="1"/>
  <c r="G135" i="1"/>
  <c r="F135" i="1"/>
  <c r="E135" i="1"/>
  <c r="D135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O111" i="1"/>
  <c r="N111" i="1"/>
  <c r="M111" i="1"/>
  <c r="L111" i="1"/>
  <c r="K111" i="1"/>
  <c r="J111" i="1"/>
  <c r="I111" i="1"/>
  <c r="H111" i="1"/>
  <c r="O90" i="1"/>
  <c r="N90" i="1"/>
  <c r="M90" i="1"/>
  <c r="L90" i="1"/>
  <c r="K90" i="1"/>
  <c r="J90" i="1"/>
  <c r="I90" i="1"/>
  <c r="H90" i="1"/>
  <c r="G90" i="1"/>
  <c r="F90" i="1"/>
  <c r="E90" i="1"/>
  <c r="D90" i="1"/>
  <c r="O89" i="1"/>
  <c r="N89" i="1"/>
  <c r="M89" i="1"/>
  <c r="L89" i="1"/>
  <c r="K89" i="1"/>
  <c r="J89" i="1"/>
  <c r="I89" i="1"/>
  <c r="H89" i="1"/>
  <c r="G89" i="1"/>
  <c r="F89" i="1"/>
  <c r="E89" i="1"/>
  <c r="D89" i="1"/>
  <c r="O88" i="1"/>
  <c r="N88" i="1"/>
  <c r="M88" i="1"/>
  <c r="L88" i="1"/>
  <c r="K88" i="1"/>
  <c r="J88" i="1"/>
  <c r="I88" i="1"/>
  <c r="H88" i="1"/>
  <c r="G88" i="1"/>
  <c r="F88" i="1"/>
  <c r="E88" i="1"/>
  <c r="D88" i="1"/>
  <c r="F86" i="1"/>
  <c r="E86" i="1"/>
  <c r="D86" i="1"/>
  <c r="O85" i="1"/>
  <c r="N85" i="1"/>
  <c r="M85" i="1"/>
  <c r="L85" i="1"/>
  <c r="K85" i="1"/>
  <c r="J85" i="1"/>
  <c r="I85" i="1"/>
  <c r="H85" i="1"/>
  <c r="G85" i="1"/>
  <c r="F85" i="1"/>
  <c r="E85" i="1"/>
  <c r="D85" i="1"/>
  <c r="O82" i="1"/>
  <c r="N82" i="1"/>
  <c r="M82" i="1"/>
  <c r="L82" i="1"/>
  <c r="K82" i="1"/>
  <c r="J82" i="1"/>
  <c r="I82" i="1"/>
  <c r="H82" i="1"/>
  <c r="G82" i="1"/>
  <c r="F82" i="1"/>
  <c r="E82" i="1"/>
  <c r="D82" i="1"/>
  <c r="O81" i="1"/>
  <c r="N81" i="1"/>
  <c r="M81" i="1"/>
  <c r="L81" i="1"/>
  <c r="K81" i="1"/>
  <c r="J81" i="1"/>
  <c r="I81" i="1"/>
  <c r="H81" i="1"/>
  <c r="G81" i="1"/>
  <c r="F81" i="1"/>
  <c r="E81" i="1"/>
  <c r="D81" i="1"/>
  <c r="F70" i="1"/>
  <c r="E70" i="1"/>
  <c r="D70" i="1"/>
  <c r="O69" i="1"/>
  <c r="N69" i="1"/>
  <c r="M69" i="1"/>
  <c r="L69" i="1"/>
  <c r="K69" i="1"/>
  <c r="J69" i="1"/>
  <c r="I69" i="1"/>
  <c r="H69" i="1"/>
  <c r="G69" i="1"/>
  <c r="F69" i="1"/>
  <c r="E69" i="1"/>
  <c r="D69" i="1"/>
  <c r="O64" i="1"/>
  <c r="N64" i="1"/>
  <c r="M64" i="1"/>
  <c r="L64" i="1"/>
  <c r="K64" i="1"/>
  <c r="J64" i="1"/>
  <c r="I64" i="1"/>
  <c r="H64" i="1"/>
  <c r="G64" i="1"/>
  <c r="F64" i="1"/>
  <c r="E64" i="1"/>
  <c r="D64" i="1"/>
  <c r="O63" i="1"/>
  <c r="N63" i="1"/>
  <c r="M63" i="1"/>
  <c r="L63" i="1"/>
  <c r="K63" i="1"/>
  <c r="J63" i="1"/>
  <c r="I63" i="1"/>
  <c r="H63" i="1"/>
  <c r="G63" i="1"/>
  <c r="F63" i="1"/>
  <c r="E63" i="1"/>
  <c r="D63" i="1"/>
  <c r="D60" i="1"/>
  <c r="D93" i="1" s="1"/>
  <c r="O57" i="1"/>
  <c r="N57" i="1"/>
  <c r="M57" i="1"/>
  <c r="L57" i="1"/>
  <c r="K57" i="1"/>
  <c r="J57" i="1"/>
  <c r="I57" i="1"/>
  <c r="H57" i="1"/>
  <c r="G57" i="1"/>
  <c r="F57" i="1"/>
  <c r="E57" i="1"/>
  <c r="D57" i="1"/>
  <c r="D30" i="1"/>
  <c r="E30" i="1" s="1"/>
  <c r="F30" i="1" s="1"/>
  <c r="G30" i="1" s="1"/>
  <c r="H30" i="1" s="1"/>
  <c r="I30" i="1" s="1"/>
  <c r="J30" i="1" s="1"/>
  <c r="D29" i="1"/>
  <c r="E29" i="1" s="1"/>
  <c r="O27" i="1"/>
  <c r="N27" i="1"/>
  <c r="M27" i="1"/>
  <c r="L27" i="1"/>
  <c r="K27" i="1"/>
  <c r="J27" i="1"/>
  <c r="I27" i="1"/>
  <c r="H27" i="1"/>
  <c r="G27" i="1"/>
  <c r="F27" i="1"/>
  <c r="E27" i="1"/>
  <c r="D27" i="1"/>
  <c r="D18" i="1"/>
  <c r="D17" i="1"/>
  <c r="O15" i="1"/>
  <c r="N15" i="1"/>
  <c r="M15" i="1"/>
  <c r="L15" i="1"/>
  <c r="K15" i="1"/>
  <c r="J15" i="1"/>
  <c r="I15" i="1"/>
  <c r="H15" i="1"/>
  <c r="G15" i="1"/>
  <c r="F15" i="1"/>
  <c r="E15" i="1"/>
  <c r="D15" i="1"/>
  <c r="G12" i="1"/>
  <c r="H12" i="1" s="1"/>
  <c r="O9" i="1"/>
  <c r="N9" i="1"/>
  <c r="M9" i="1"/>
  <c r="L9" i="1"/>
  <c r="K9" i="1"/>
  <c r="J9" i="1"/>
  <c r="I9" i="1"/>
  <c r="H9" i="1"/>
  <c r="G9" i="1"/>
  <c r="D33" i="1" l="1"/>
  <c r="H71" i="1"/>
  <c r="G92" i="1"/>
  <c r="H72" i="1"/>
  <c r="E60" i="1"/>
  <c r="E93" i="1" s="1"/>
  <c r="D53" i="1"/>
  <c r="D32" i="1"/>
  <c r="D54" i="1"/>
  <c r="F212" i="1"/>
  <c r="E148" i="1"/>
  <c r="D58" i="1"/>
  <c r="L213" i="1"/>
  <c r="D212" i="1"/>
  <c r="D148" i="1"/>
  <c r="L214" i="1"/>
  <c r="J145" i="3" s="1"/>
  <c r="D136" i="1"/>
  <c r="D16" i="1"/>
  <c r="F112" i="1"/>
  <c r="G113" i="1"/>
  <c r="D28" i="1"/>
  <c r="E18" i="1"/>
  <c r="E212" i="1"/>
  <c r="H212" i="1"/>
  <c r="G212" i="1"/>
  <c r="I212" i="1"/>
  <c r="I12" i="1"/>
  <c r="K30" i="1"/>
  <c r="L30" i="1" s="1"/>
  <c r="M30" i="1" s="1"/>
  <c r="N30" i="1" s="1"/>
  <c r="O30" i="1" s="1"/>
  <c r="H165" i="1"/>
  <c r="G166" i="1"/>
  <c r="F29" i="1"/>
  <c r="E28" i="1"/>
  <c r="D211" i="1"/>
  <c r="D213" i="1" s="1"/>
  <c r="G11" i="1"/>
  <c r="E17" i="1"/>
  <c r="E32" i="1" s="1"/>
  <c r="E136" i="1"/>
  <c r="H211" i="1"/>
  <c r="H213" i="1" s="1"/>
  <c r="F137" i="1"/>
  <c r="F149" i="1"/>
  <c r="E166" i="1"/>
  <c r="F166" i="1"/>
  <c r="E211" i="1"/>
  <c r="E213" i="1" s="1"/>
  <c r="I211" i="1"/>
  <c r="I213" i="1" s="1"/>
  <c r="M213" i="1"/>
  <c r="D87" i="1"/>
  <c r="D166" i="1"/>
  <c r="F211" i="1"/>
  <c r="F213" i="1" s="1"/>
  <c r="J213" i="1"/>
  <c r="N213" i="1"/>
  <c r="G211" i="1"/>
  <c r="G213" i="1" s="1"/>
  <c r="K213" i="1"/>
  <c r="O213" i="1"/>
  <c r="I72" i="1" l="1"/>
  <c r="I71" i="1"/>
  <c r="H92" i="1"/>
  <c r="H86" i="1"/>
  <c r="H70" i="1"/>
  <c r="F60" i="1"/>
  <c r="F93" i="1" s="1"/>
  <c r="E58" i="1"/>
  <c r="E87" i="1"/>
  <c r="E54" i="1"/>
  <c r="E33" i="1"/>
  <c r="F17" i="1"/>
  <c r="E53" i="1"/>
  <c r="F18" i="1"/>
  <c r="G112" i="1"/>
  <c r="H113" i="1"/>
  <c r="G149" i="1"/>
  <c r="F148" i="1"/>
  <c r="G137" i="1"/>
  <c r="F136" i="1"/>
  <c r="E16" i="1"/>
  <c r="F28" i="1"/>
  <c r="G29" i="1"/>
  <c r="I165" i="1"/>
  <c r="H166" i="1"/>
  <c r="J12" i="1"/>
  <c r="H11" i="1"/>
  <c r="G10" i="1"/>
  <c r="J71" i="1" l="1"/>
  <c r="I92" i="1"/>
  <c r="I86" i="1"/>
  <c r="I70" i="1"/>
  <c r="J72" i="1"/>
  <c r="G60" i="1"/>
  <c r="G93" i="1" s="1"/>
  <c r="F58" i="1"/>
  <c r="F87" i="1"/>
  <c r="F54" i="1"/>
  <c r="F33" i="1"/>
  <c r="F53" i="1"/>
  <c r="F32" i="1"/>
  <c r="G17" i="1"/>
  <c r="G53" i="1" s="1"/>
  <c r="F16" i="1"/>
  <c r="G18" i="1"/>
  <c r="I113" i="1"/>
  <c r="J113" i="1" s="1"/>
  <c r="K113" i="1" s="1"/>
  <c r="H112" i="1"/>
  <c r="H10" i="1"/>
  <c r="I11" i="1"/>
  <c r="H137" i="1"/>
  <c r="G136" i="1"/>
  <c r="K12" i="1"/>
  <c r="H29" i="1"/>
  <c r="G28" i="1"/>
  <c r="I166" i="1"/>
  <c r="J165" i="1"/>
  <c r="H149" i="1"/>
  <c r="G148" i="1"/>
  <c r="K72" i="1" l="1"/>
  <c r="K71" i="1"/>
  <c r="J92" i="1"/>
  <c r="J86" i="1"/>
  <c r="J70" i="1"/>
  <c r="H60" i="1"/>
  <c r="H93" i="1" s="1"/>
  <c r="G58" i="1"/>
  <c r="G87" i="1"/>
  <c r="G32" i="1"/>
  <c r="G54" i="1"/>
  <c r="G33" i="1"/>
  <c r="H17" i="1"/>
  <c r="H32" i="1" s="1"/>
  <c r="L113" i="1"/>
  <c r="K112" i="1"/>
  <c r="J112" i="1"/>
  <c r="I112" i="1"/>
  <c r="H18" i="1"/>
  <c r="G16" i="1"/>
  <c r="K165" i="1"/>
  <c r="J166" i="1"/>
  <c r="I137" i="1"/>
  <c r="H136" i="1"/>
  <c r="L12" i="1"/>
  <c r="I10" i="1"/>
  <c r="J11" i="1"/>
  <c r="J157" i="1" s="1"/>
  <c r="H175" i="3" s="1"/>
  <c r="I149" i="1"/>
  <c r="H148" i="1"/>
  <c r="I29" i="1"/>
  <c r="H28" i="1"/>
  <c r="L71" i="1" l="1"/>
  <c r="K92" i="1"/>
  <c r="K86" i="1"/>
  <c r="K70" i="1"/>
  <c r="L72" i="1"/>
  <c r="I60" i="1"/>
  <c r="I93" i="1" s="1"/>
  <c r="H58" i="1"/>
  <c r="H87" i="1"/>
  <c r="H54" i="1"/>
  <c r="H33" i="1"/>
  <c r="H16" i="1"/>
  <c r="I17" i="1"/>
  <c r="H53" i="1"/>
  <c r="M113" i="1"/>
  <c r="L112" i="1"/>
  <c r="I18" i="1"/>
  <c r="I136" i="1"/>
  <c r="J137" i="1"/>
  <c r="J10" i="1"/>
  <c r="K11" i="1"/>
  <c r="I148" i="1"/>
  <c r="J149" i="1"/>
  <c r="K149" i="1" s="1"/>
  <c r="L149" i="1" s="1"/>
  <c r="M149" i="1" s="1"/>
  <c r="N149" i="1" s="1"/>
  <c r="O149" i="1" s="1"/>
  <c r="M12" i="1"/>
  <c r="J29" i="1"/>
  <c r="I28" i="1"/>
  <c r="L165" i="1"/>
  <c r="K166" i="1"/>
  <c r="I53" i="1" l="1"/>
  <c r="J17" i="1"/>
  <c r="J32" i="1" s="1"/>
  <c r="M72" i="1"/>
  <c r="M71" i="1"/>
  <c r="L92" i="1"/>
  <c r="L86" i="1"/>
  <c r="L70" i="1"/>
  <c r="J60" i="1"/>
  <c r="J93" i="1" s="1"/>
  <c r="I58" i="1"/>
  <c r="I87" i="1"/>
  <c r="I54" i="1"/>
  <c r="I33" i="1"/>
  <c r="I32" i="1"/>
  <c r="N113" i="1"/>
  <c r="M112" i="1"/>
  <c r="J18" i="1"/>
  <c r="J33" i="1" s="1"/>
  <c r="I16" i="1"/>
  <c r="M165" i="1"/>
  <c r="L166" i="1"/>
  <c r="K137" i="1"/>
  <c r="J136" i="1"/>
  <c r="J28" i="1"/>
  <c r="K29" i="1"/>
  <c r="J148" i="1"/>
  <c r="N12" i="1"/>
  <c r="L11" i="1"/>
  <c r="K10" i="1"/>
  <c r="J53" i="1" l="1"/>
  <c r="K17" i="1"/>
  <c r="K32" i="1" s="1"/>
  <c r="N71" i="1"/>
  <c r="M92" i="1"/>
  <c r="M86" i="1"/>
  <c r="M70" i="1"/>
  <c r="N72" i="1"/>
  <c r="K60" i="1"/>
  <c r="K93" i="1" s="1"/>
  <c r="J87" i="1"/>
  <c r="J58" i="1"/>
  <c r="K18" i="1"/>
  <c r="J54" i="1"/>
  <c r="O113" i="1"/>
  <c r="N112" i="1"/>
  <c r="J16" i="1"/>
  <c r="L10" i="1"/>
  <c r="M11" i="1"/>
  <c r="O12" i="1"/>
  <c r="L137" i="1"/>
  <c r="K136" i="1"/>
  <c r="K148" i="1"/>
  <c r="M166" i="1"/>
  <c r="N165" i="1"/>
  <c r="L29" i="1"/>
  <c r="K28" i="1"/>
  <c r="K53" i="1" l="1"/>
  <c r="L17" i="1"/>
  <c r="L32" i="1" s="1"/>
  <c r="O72" i="1"/>
  <c r="O71" i="1"/>
  <c r="N92" i="1"/>
  <c r="N86" i="1"/>
  <c r="N70" i="1"/>
  <c r="L60" i="1"/>
  <c r="L93" i="1" s="1"/>
  <c r="K87" i="1"/>
  <c r="K58" i="1"/>
  <c r="L18" i="1"/>
  <c r="M18" i="1" s="1"/>
  <c r="K33" i="1"/>
  <c r="K54" i="1"/>
  <c r="K16" i="1"/>
  <c r="O112" i="1"/>
  <c r="M29" i="1"/>
  <c r="L28" i="1"/>
  <c r="O165" i="1"/>
  <c r="O166" i="1" s="1"/>
  <c r="N166" i="1"/>
  <c r="M10" i="1"/>
  <c r="N11" i="1"/>
  <c r="L148" i="1"/>
  <c r="M137" i="1"/>
  <c r="L136" i="1"/>
  <c r="M17" i="1" l="1"/>
  <c r="M32" i="1" s="1"/>
  <c r="L53" i="1"/>
  <c r="O92" i="1"/>
  <c r="O86" i="1"/>
  <c r="O70" i="1"/>
  <c r="L16" i="1"/>
  <c r="M60" i="1"/>
  <c r="M93" i="1" s="1"/>
  <c r="L87" i="1"/>
  <c r="L58" i="1"/>
  <c r="M54" i="1"/>
  <c r="M33" i="1"/>
  <c r="L54" i="1"/>
  <c r="L33" i="1"/>
  <c r="N18" i="1"/>
  <c r="N29" i="1"/>
  <c r="M28" i="1"/>
  <c r="M148" i="1"/>
  <c r="N10" i="1"/>
  <c r="O11" i="1"/>
  <c r="M136" i="1"/>
  <c r="N137" i="1"/>
  <c r="M53" i="1" l="1"/>
  <c r="M16" i="1"/>
  <c r="N17" i="1"/>
  <c r="N53" i="1" s="1"/>
  <c r="N60" i="1"/>
  <c r="N93" i="1" s="1"/>
  <c r="M87" i="1"/>
  <c r="M58" i="1"/>
  <c r="N54" i="1"/>
  <c r="N33" i="1"/>
  <c r="O18" i="1"/>
  <c r="O10" i="1"/>
  <c r="N28" i="1"/>
  <c r="O29" i="1"/>
  <c r="O28" i="1" s="1"/>
  <c r="O148" i="1"/>
  <c r="N148" i="1"/>
  <c r="O137" i="1"/>
  <c r="N136" i="1"/>
  <c r="N32" i="1" l="1"/>
  <c r="N16" i="1"/>
  <c r="O17" i="1"/>
  <c r="O53" i="1" s="1"/>
  <c r="O60" i="1"/>
  <c r="O93" i="1" s="1"/>
  <c r="N87" i="1"/>
  <c r="N58" i="1"/>
  <c r="O54" i="1"/>
  <c r="O33" i="1"/>
  <c r="O136" i="1"/>
  <c r="D216" i="1"/>
  <c r="E216" i="1" s="1"/>
  <c r="F216" i="1" s="1"/>
  <c r="G216" i="1" s="1"/>
  <c r="H216" i="1" s="1"/>
  <c r="I216" i="1" s="1"/>
  <c r="J216" i="1" s="1"/>
  <c r="K216" i="1" s="1"/>
  <c r="L216" i="1" s="1"/>
  <c r="M216" i="1" s="1"/>
  <c r="N216" i="1" s="1"/>
  <c r="O216" i="1" s="1"/>
  <c r="O32" i="1" l="1"/>
  <c r="O16" i="1"/>
  <c r="O58" i="1"/>
  <c r="O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MANUELVAL</author>
    <author>Manuel Vega Navarrate</author>
    <author>Autor</author>
  </authors>
  <commentList>
    <comment ref="A11" authorId="0" shapeId="0" xr:uid="{2276088B-DEA4-4896-BD4A-E5EC70AEB9F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EXTRAER INFORMACION DE ESTADOS FINANCIEROS Y BALANZA … </t>
        </r>
        <r>
          <rPr>
            <b/>
            <sz val="9"/>
            <color indexed="81"/>
            <rFont val="Tahoma"/>
            <family val="2"/>
          </rPr>
          <t>EN CASO DE CONSIDERAR LAS BONIFICACIONES Y DESCUENTOS COMO GASTO FAVOR DE CLASIFICARLOS DES PUES DE INGRESOS COMO EL FORMATO Y QUITARLO A LOS GASTOS. DEBERÁ CHECAR CON SU ESTADO DE RESULTADOS</t>
        </r>
      </text>
    </comment>
    <comment ref="A33" authorId="0" shapeId="0" xr:uid="{9024CD2E-3328-4BE5-8847-DB8B6B11D7B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ESTA PAGANDO CREDITOS CONTRACTUALES</t>
        </r>
      </text>
    </comment>
    <comment ref="A34" authorId="0" shapeId="0" xr:uid="{590CF7B0-9ED2-4DCB-95E8-0978AC75075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INVERSIONES REALIZADAS CON RECURSOS PROPIOS DENTRO DEL MES
</t>
        </r>
      </text>
    </comment>
    <comment ref="A40" authorId="0" shapeId="0" xr:uid="{A4766F2E-A598-45CF-BF32-906381FFDEC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BALANCE GENERAL O ESTADO DE SITUACIÓN FINANCIERA
</t>
        </r>
      </text>
    </comment>
    <comment ref="A51" authorId="0" shapeId="0" xr:uid="{456BD41A-8004-4185-AF08-79B6C7D9DAD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ENERGIA ELECTRICA CFE</t>
        </r>
      </text>
    </comment>
    <comment ref="I51" authorId="1" shapeId="0" xr:uid="{616AC58B-562D-4D13-A50D-06A7EFC45828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J51" authorId="1" shapeId="0" xr:uid="{19C123C7-E1BE-4E5A-9123-E4849B4B2D12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K51" authorId="1" shapeId="0" xr:uid="{EE2046C8-9C9B-4CEF-9B87-517A0B2507B7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L51" authorId="1" shapeId="0" xr:uid="{90984486-D8E0-4847-8710-56127C1EB73F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A56" authorId="0" shapeId="0" xr:uid="{B414ECF1-29D1-447A-B418-6882C795937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ENERGÍA ELÉCTRICA CFE</t>
        </r>
      </text>
    </comment>
    <comment ref="A61" authorId="0" shapeId="0" xr:uid="{3490C3A0-067B-4CD1-8442-355FE001E97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
</t>
        </r>
      </text>
    </comment>
    <comment ref="A62" authorId="0" shapeId="0" xr:uid="{B493E399-23E5-46A9-A9E7-5A6E1D58106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</t>
        </r>
      </text>
    </comment>
    <comment ref="A65" authorId="0" shapeId="0" xr:uid="{1D134B75-628C-4E20-8F92-25BC0D25493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MEDICION DE LAS FUENTES POR TIPO
</t>
        </r>
      </text>
    </comment>
    <comment ref="A71" authorId="0" shapeId="0" xr:uid="{123FBB01-1BC4-454B-A06A-18CD82154AC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RESUMEN OPERATIVO POR TIPO DE USUARIO
</t>
        </r>
      </text>
    </comment>
    <comment ref="A79" authorId="0" shapeId="0" xr:uid="{754170A4-C74C-482E-8795-CC6C123517E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LECTRURA CEL O COMERCIAL</t>
        </r>
      </text>
    </comment>
    <comment ref="A84" authorId="0" shapeId="0" xr:uid="{1A1BD502-FAC4-4D3C-8AA7-C36028CE1C5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LECTURA DE  MEDICIÓN EN LA PLANTA TRATADORA O ESTIMADO.</t>
        </r>
      </text>
    </comment>
    <comment ref="A91" authorId="0" shapeId="0" xr:uid="{F70DB16C-EFA7-4378-A434-B92D7EADDA6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 PARA LO FACTURADO Y COBRADO EN $</t>
        </r>
      </text>
    </comment>
    <comment ref="A106" authorId="0" shapeId="0" xr:uid="{73A59B4F-ABA0-4B5D-9BA4-A0C537C29A67}">
      <text>
        <r>
          <rPr>
            <sz val="9"/>
            <color indexed="81"/>
            <rFont val="Tahoma"/>
            <family val="2"/>
          </rPr>
          <t>MANUELVAL:SOLO AQUELLOS QUE EFECTIVAMENTE SE REALIZARON YA QUE AL ACUDIR AL CORTE EL USUARIO EN ALGUNOS CASOS REALIZA EL PAGO INMEDIATO.</t>
        </r>
      </text>
    </comment>
    <comment ref="A107" authorId="0" shapeId="0" xr:uid="{5AE3E344-705E-483A-8623-C153BFC26E9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TAMBIEN LAS EFECTIVAMENTE RERALIZADAS EN LAS BITACORAS O CONTROLES.</t>
        </r>
      </text>
    </comment>
    <comment ref="A108" authorId="0" shapeId="0" xr:uid="{59D51639-11C4-4847-B13F-5DB9279674B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CONTABILIZADO POR ESTE CONCEPTO
</t>
        </r>
      </text>
    </comment>
    <comment ref="A110" authorId="0" shapeId="0" xr:uid="{C0519308-9798-42C4-91CC-1593DFF1CBA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SISTEMA LECTURA CEL O COMERCIAL, SEPARAR TOMAS ACTIVAS DE LAS NO ACTIVAS O CONGELADAS COMO LO MUESTRA EL CUADRO</t>
        </r>
      </text>
    </comment>
    <comment ref="A130" authorId="0" shapeId="0" xr:uid="{4AB6AF26-AA36-4C1B-96D3-8DA3CDED1F5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comercial. </t>
        </r>
        <r>
          <rPr>
            <b/>
            <sz val="9"/>
            <color indexed="81"/>
            <rFont val="Tahoma"/>
            <family val="2"/>
          </rPr>
          <t>SE TOMA EL REZAGO SIN RECARGOS</t>
        </r>
      </text>
    </comment>
    <comment ref="A138" authorId="0" shapeId="0" xr:uid="{4D923023-6C5A-48A3-BEC7-B2311A2EDBA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</t>
        </r>
      </text>
    </comment>
    <comment ref="A144" authorId="0" shapeId="0" xr:uid="{4E434924-7E60-4C4E-B1A8-662C76CDA9E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TOMAR DEL PADRON POR RANGOS DE CONSUMO LA TARIFA EN LA QUE HUBO MAS USUARIOS EN EL MES</t>
        </r>
      </text>
    </comment>
    <comment ref="A153" authorId="0" shapeId="0" xr:uid="{1078F0F3-7458-4BF2-BDBC-EA9E52FCA3D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TENER EL DATO DE </t>
        </r>
        <r>
          <rPr>
            <b/>
            <sz val="9"/>
            <color indexed="81"/>
            <rFont val="Tahoma"/>
            <family val="2"/>
          </rPr>
          <t>CONAPO</t>
        </r>
        <r>
          <rPr>
            <sz val="9"/>
            <color indexed="81"/>
            <rFont val="Tahoma"/>
            <family val="2"/>
          </rPr>
          <t xml:space="preserve"> SE INCLUYE.</t>
        </r>
      </text>
    </comment>
    <comment ref="A154" authorId="0" shapeId="0" xr:uid="{A28EC65A-9A9D-4425-9C13-28AE76B96CD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5" authorId="0" shapeId="0" xr:uid="{212C913D-B9D5-4692-89DE-0C12C272541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6" authorId="0" shapeId="0" xr:uid="{8FE5DA42-663C-4F78-BC83-6305E529C49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COMUNIDADES, COMITES QUE EL ORGANISMO ATIENDE ADEMAS DE LO CORRESPONDIENTE A SUS CINCURSCRIPCIÓN</t>
        </r>
      </text>
    </comment>
    <comment ref="A157" authorId="0" shapeId="0" xr:uid="{41FC5ADB-D834-4055-9176-317F11E41D1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DATO DE COUNIDADES ATENDIDAS ESTIMAR EL NUMERO DE USUARIOS SEGÚN EL PADRON DE CADA UNA</t>
        </r>
      </text>
    </comment>
    <comment ref="A158" authorId="0" shapeId="0" xr:uid="{E81DBF69-964B-48D5-B2A8-6BE3D5FB934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59" authorId="0" shapeId="0" xr:uid="{34ACC82A-C53E-4CDD-BD0D-060245AE2A8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60" authorId="0" shapeId="0" xr:uid="{38A5E26B-39CF-4395-93B7-61ECC84F410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1" authorId="0" shapeId="0" xr:uid="{7D6DD38D-C377-4D58-BE13-9A7647523FC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2" authorId="0" shapeId="0" xr:uid="{BC051E88-ED3F-467E-BFD8-B0E895FC50D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3" authorId="0" shapeId="0" xr:uid="{497F31F5-F4AD-4D1B-B256-8ABA42867DF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4" authorId="0" shapeId="0" xr:uid="{1562612B-C0F7-430E-9D59-CDD972FECF0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5" authorId="0" shapeId="0" xr:uid="{15746D57-FD4E-40D9-A51D-887E6F8947C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LA LONGITUD REHABILITADA EN EL MES EN KM</t>
        </r>
      </text>
    </comment>
    <comment ref="A166" authorId="0" shapeId="0" xr:uid="{FFB1DD29-1491-485B-8A3B-8E1DCACEA7B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REHABILITAR O REPARAR MICROMEDIDORES</t>
        </r>
      </text>
    </comment>
    <comment ref="A167" authorId="0" shapeId="0" xr:uid="{3E99B92D-92A2-45B5-ADC1-F0CD33EA6AD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LOS MICROMEDIDORES NUEVOS INSTALADOS POR SUSTITUCIÓN, A SOLICITUD DEL USUARIO , NUEVOS CONTRATOS, ETC.</t>
        </r>
      </text>
    </comment>
    <comment ref="A168" authorId="0" shapeId="0" xr:uid="{83EDA37A-1EBD-497D-ADFE-B99393234C8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 LOS QUE EFECTIVAMENTE SE LES TOMA LECTURA, NO INCLUYE LOS ESTIMADOS, PROMEDIADOS, DESTRUIDOS, SIN FUNCIONAR, ETC.  </t>
        </r>
        <r>
          <rPr>
            <b/>
            <sz val="9"/>
            <color indexed="81"/>
            <rFont val="Tahoma"/>
            <family val="2"/>
          </rPr>
          <t>SOLO FUNCIONANDO</t>
        </r>
      </text>
    </comment>
    <comment ref="A170" authorId="0" shapeId="0" xr:uid="{C6CD0DDE-F760-40C7-8715-C19DA78B0AB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MACROMEDIDORES INSTALADOS EN EL MES</t>
        </r>
      </text>
    </comment>
    <comment ref="A171" authorId="0" shapeId="0" xr:uid="{CC6508E6-12C6-4F5D-B9B0-1A6B1E6FD76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QUE SI FUNCIONEN Y ARROJEN LECTURAS CORRECTAMENTE. SEGÚN BITACORAS</t>
        </r>
      </text>
    </comment>
    <comment ref="A173" authorId="0" shapeId="0" xr:uid="{1740559B-9C97-4ADD-8F9E-E2A2CE60F2F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INVENTARIO DE FUENTES ACTIVAS Y EN DESUSO, TANQUES DE ALMACENAMIENTO O PILAS Y CAPACIDAD DE ALMACENAMIENTO. </t>
        </r>
      </text>
    </comment>
    <comment ref="A186" authorId="0" shapeId="0" xr:uid="{78FABF6F-B4A4-4592-99EA-F93D0A616CC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TODO EL PERSONAL SEA POR SUELDOS Y SALARIOS, HONORARIOS O ASIMILADOS. SEPARAR DE ACUERDO AL CUADRO</t>
        </r>
      </text>
    </comment>
    <comment ref="A197" authorId="0" shapeId="0" xr:uid="{6EEA3D81-5D08-4EED-8DD9-1E7E82DEDDBF}">
      <text>
        <r>
          <rPr>
            <b/>
            <sz val="9"/>
            <color indexed="81"/>
            <rFont val="Tahoma"/>
            <family val="2"/>
          </rPr>
          <t xml:space="preserve">MANUELVAL:
</t>
        </r>
        <r>
          <rPr>
            <sz val="9"/>
            <color indexed="81"/>
            <rFont val="Tahoma"/>
            <family val="2"/>
          </rPr>
          <t>QUE SE INVOLUCREN EN EL TEMA</t>
        </r>
      </text>
    </comment>
    <comment ref="A198" authorId="0" shapeId="0" xr:uid="{DF6473DB-21AD-4132-B49B-A4B25A0D2E9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199" authorId="0" shapeId="0" xr:uid="{B70D657E-FB9E-4030-92EB-DDFBC2E9E55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0" authorId="0" shapeId="0" xr:uid="{AE9E9987-815F-4060-A20A-631AC1E7BC5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1" authorId="0" shapeId="0" xr:uid="{0369AF0D-FFCE-453B-B62E-5C04458D0A5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2" authorId="0" shapeId="0" xr:uid="{017E8324-5997-40BB-99F8-0F5349EBA8A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3" authorId="0" shapeId="0" xr:uid="{B676BE17-1789-4CBF-B1FB-C16BFCF8FAA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AQUELLOS USUARIOS QUE RECIBEN AGUA LAS 24 HRS LOS 7 DIAS</t>
        </r>
      </text>
    </comment>
    <comment ref="L203" authorId="2" shapeId="0" xr:uid="{3FC532B5-1A2A-4088-8AA7-752C0132CE2F}">
      <text>
        <r>
          <rPr>
            <b/>
            <sz val="9"/>
            <color indexed="81"/>
            <rFont val="Tahoma"/>
            <family val="2"/>
          </rPr>
          <t>ESTE DATO SE OBTUVO POR NELLY / YA QUE DANY ESTABA DE VACACIONES ESTE ES APROX</t>
        </r>
      </text>
    </comment>
    <comment ref="A204" authorId="0" shapeId="0" xr:uid="{45F92375-44E7-4132-8692-03FE19E6F33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TOMAS CON SERVICIO DE TANDEO.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MANUELVAL</author>
    <author>Presidencia</author>
  </authors>
  <commentList>
    <comment ref="C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2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AQUELLA AGUA ENTREGADA Y NO FACTURADA PERO SI REGISTRADA EN BITACORAS (M3 ENTREGADOS POR OTROS MEDIOS DISTINTOS A LA LINEAS DOMICILIARIAS O QUE NO SE COBRA POR ALGUNA RAZON Y NO ENTRAN AL SISTEMA COMERCIAL)</t>
        </r>
      </text>
    </comment>
    <comment ref="C2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AQUELLA AGUA ENTREGADA Y NO FACTURADA PERO SI REGISTRADA EN BITACORAS (M3 ENTREGADOS POR OTROS MEDIOS DISTINTOS A LA LINEAS DOMICILIARIAS O QUE NO SE COBRA POR ALGUNA RAZON Y NO ENTRAN AL SISTEMA COMERCIAL)</t>
        </r>
      </text>
    </comment>
    <comment ref="C35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4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4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INFORMATIVO, SALE DEL REUMEN OPERATIVO DEL SISTEMA COMERCIAL OMLECTURA CEL</t>
        </r>
      </text>
    </comment>
    <comment ref="C4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INFORMATIVO, SALE DEL REUMEN OPERATIVO DEL SISTEMA COMERCIAL OMLECTURA CEL</t>
        </r>
      </text>
    </comment>
    <comment ref="C5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6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B67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- Son los importes cobrados en el mes, independientemente de cuando se hayan facturado.</t>
        </r>
      </text>
    </comment>
    <comment ref="C6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C68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B7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- Son los importes cobrados en el mes, independientemente de cuando se hayan facturado.</t>
        </r>
      </text>
    </comment>
    <comment ref="C73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C74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C80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94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EL DATO A 2019 QUE SE TENGA DE </t>
        </r>
        <r>
          <rPr>
            <b/>
            <sz val="9"/>
            <color indexed="81"/>
            <rFont val="Tahoma"/>
            <family val="2"/>
          </rPr>
          <t>CONAPO</t>
        </r>
      </text>
    </comment>
    <comment ref="C99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 RESUMEN OPERATIVO DEL SISTEMA LECTURA CEL O COMERCIAL</t>
        </r>
      </text>
    </comment>
    <comment ref="C105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6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7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8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10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16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21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22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27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28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33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34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39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40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45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46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55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72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AQUELLAS EN LAS QUE SI SE MIDE EL CONSUMO DE AGUA</t>
        </r>
      </text>
    </comment>
    <comment ref="C174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AQUELLAS QUE NO SE PUEDE MEDIR CON PRECISIÓN EL CONSUMO</t>
        </r>
      </text>
    </comment>
    <comment ref="C176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REGISRTADAS COMO SERVICIO DE CUOTA FIJA EN SU PADRON</t>
        </r>
      </text>
    </comment>
    <comment ref="C178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AQUELLAS QUE ESTEN CATALOGADAS COMO ESTIMACIONES, MEDIDOR DAÑADO, PROMEDIO O CUOTA FIJA PERO INCLUIDAS EN EL PADRON DE SERVICIO MEDIDO, ETC.</t>
        </r>
      </text>
    </comment>
    <comment ref="C181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85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IVA efectivamente recuperado en el mes</t>
        </r>
      </text>
    </comment>
    <comment ref="C187" authorId="0" shapeId="0" xr:uid="{00000000-0006-0000-0100-00002C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IVA pendiente de recuperar según mis registros contables y que si se pueda recuperar. NO INCLUIR SALDOS VENCIDOS Y SIN GESTION</t>
        </r>
      </text>
    </comment>
    <comment ref="B191" authorId="1" shapeId="0" xr:uid="{00000000-0006-0000-0100-00002D000000}">
      <text>
        <r>
          <rPr>
            <b/>
            <sz val="9"/>
            <color indexed="81"/>
            <rFont val="Tahoma"/>
            <family val="2"/>
          </rPr>
          <t>Cualquier empleado tiene que caer en alguna de estas categorpias para que el 100% de los empleados este reflejados</t>
        </r>
      </text>
    </comment>
    <comment ref="C192" authorId="0" shapeId="0" xr:uid="{00000000-0006-0000-0100-00002E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196" authorId="0" shapeId="0" xr:uid="{00000000-0006-0000-0100-00002F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00" authorId="0" shapeId="0" xr:uid="{00000000-0006-0000-0100-000030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04" authorId="0" shapeId="0" xr:uid="{00000000-0006-0000-0100-000031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17" authorId="0" shapeId="0" xr:uid="{00000000-0006-0000-0100-000032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SALDOS SEGÚN BALANZA DE COMPROBACIÓN Y ETIQUETADOS PARA EL DESTINO DESCRITO</t>
        </r>
      </text>
    </comment>
  </commentList>
</comments>
</file>

<file path=xl/sharedStrings.xml><?xml version="1.0" encoding="utf-8"?>
<sst xmlns="http://schemas.openxmlformats.org/spreadsheetml/2006/main" count="627" uniqueCount="336">
  <si>
    <t>INDICADORES MENSUALES JMAS</t>
  </si>
  <si>
    <t>UNIDAD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</si>
  <si>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</si>
  <si>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</si>
  <si>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</si>
  <si>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</si>
  <si>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</si>
  <si>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</si>
  <si>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</si>
  <si>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</si>
  <si>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</si>
  <si>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</si>
  <si>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</si>
  <si>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</si>
  <si>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</si>
  <si>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M</t>
    </r>
    <r>
      <rPr>
        <b/>
        <vertAlign val="superscript"/>
        <sz val="20"/>
        <color theme="1"/>
        <rFont val="Calibri"/>
        <family val="2"/>
        <scheme val="minor"/>
      </rPr>
      <t>3</t>
    </r>
  </si>
  <si>
    <t xml:space="preserve">Volumen Producido (Alumbrado)         </t>
  </si>
  <si>
    <t>Acumulado 2018</t>
  </si>
  <si>
    <t xml:space="preserve">Volumen  TOTAL Facturado                </t>
  </si>
  <si>
    <t>Volumen Facturado al Sector Público                  M3</t>
  </si>
  <si>
    <t>Eficiencia Física</t>
  </si>
  <si>
    <t>Mensual</t>
  </si>
  <si>
    <t>$</t>
  </si>
  <si>
    <t xml:space="preserve">Importe Cobrado al sector público </t>
  </si>
  <si>
    <t>Eficiencia Comercial</t>
  </si>
  <si>
    <t xml:space="preserve">Volumen de Agua Tratada                        </t>
  </si>
  <si>
    <t xml:space="preserve"> </t>
  </si>
  <si>
    <t xml:space="preserve">Volumen de Agua Tratada Facturado </t>
  </si>
  <si>
    <t xml:space="preserve">Volumen de Agua Tratada Facturada al Sector Público       </t>
  </si>
  <si>
    <t xml:space="preserve">Importe facturado de agua tratada excepto sector público </t>
  </si>
  <si>
    <t>Importe facturado de agua tratada al sector público</t>
  </si>
  <si>
    <t>Importe Cobrado de agua tratada al todos menos sector publico</t>
  </si>
  <si>
    <t>Importe  cobrado e agua tratada al sector público</t>
  </si>
  <si>
    <t>Indice de agua tratada</t>
  </si>
  <si>
    <t>Volumen tratado / Volumen facturado  (Agua Potable)</t>
  </si>
  <si>
    <t>Volumen Tratado Facturado / Volumen Tratado TOTAL</t>
  </si>
  <si>
    <t>Datos Comerciales</t>
  </si>
  <si>
    <t>Eficiencia de corte</t>
  </si>
  <si>
    <t># de usuarios con servicio continuo</t>
  </si>
  <si>
    <t>% de usuarios con servicio continuo</t>
  </si>
  <si>
    <t># de tomas (total tomas)</t>
  </si>
  <si>
    <t># de tomas con medidor</t>
  </si>
  <si>
    <t>% de tomas con medidor</t>
  </si>
  <si>
    <t># de tomas sin medidor</t>
  </si>
  <si>
    <t>% de tomas sin medidor</t>
  </si>
  <si>
    <t># de tomas sin medidor y cobrando cuota fija</t>
  </si>
  <si>
    <t>% de tomas sin medidor y cobrando cuota fija</t>
  </si>
  <si>
    <t>% de tomas con medidor y cobrando cuota fija.</t>
  </si>
  <si>
    <t>Importe de IVA recuperado en el mes (ya depositado)</t>
  </si>
  <si>
    <t xml:space="preserve">Importe de IVA por recuperar </t>
  </si>
  <si>
    <t># de comités de agua en su jurisdicción</t>
  </si>
  <si>
    <t>Cualquier empleado de planta o eventual, por honorarios o de cualquier otro tipo, anotarlo en alguna de estas categorías</t>
  </si>
  <si>
    <t>Número de empleados sindicalizados activos</t>
  </si>
  <si>
    <t>Reducción en número</t>
  </si>
  <si>
    <t>Reducción en porcentaje</t>
  </si>
  <si>
    <t>Número de empleados de confianza activos</t>
  </si>
  <si>
    <t>Al cierre del mes</t>
  </si>
  <si>
    <t>Número de empleados sindicalizados pensionados o jubilados</t>
  </si>
  <si>
    <t>Número de empleados de confianza pensionados o jubilados</t>
  </si>
  <si>
    <t xml:space="preserve">Número de empleados cada mil tomas </t>
  </si>
  <si>
    <t>Con Pensionados y jubilados</t>
  </si>
  <si>
    <t>Sin pensionados y jubilados</t>
  </si>
  <si>
    <t xml:space="preserve">Acumulado en el año </t>
  </si>
  <si>
    <t xml:space="preserve">$ </t>
  </si>
  <si>
    <t>Aguinaldos al cierre de mes</t>
  </si>
  <si>
    <t>DFEA al cierre de mes</t>
  </si>
  <si>
    <t>Gasto de Inversión Recursos Propios</t>
  </si>
  <si>
    <t xml:space="preserve">Saldo en bancos privisionado para: </t>
  </si>
  <si>
    <t>Inversión en bancos al cierre de mes</t>
  </si>
  <si>
    <t>Mensual 2019</t>
  </si>
  <si>
    <t>Acumulado 2019</t>
  </si>
  <si>
    <t>Acumulado en el año 2019</t>
  </si>
  <si>
    <t>Costo por M3 alumbrado 2019</t>
  </si>
  <si>
    <t>Mensual PIGOO</t>
  </si>
  <si>
    <t>Subtotal Empleados Activos 2016</t>
  </si>
  <si>
    <t>Subtotal emp. pensionados o jubilados 2016</t>
  </si>
  <si>
    <t>Gran Total de 2019</t>
  </si>
  <si>
    <t>Gran Total de 2016</t>
  </si>
  <si>
    <t>Volumen Cobrado al Sector Público                  M3</t>
  </si>
  <si>
    <t>Eficiencia cobranza  (sólo sector público)</t>
  </si>
  <si>
    <t>Eficiencia Cobranza GLOBAL</t>
  </si>
  <si>
    <t>Consumo en KWH</t>
  </si>
  <si>
    <t>Costo y consumo de Energía únicamente de Producción y Distribución del Volumen de Agua , Saneamiento y Alcantarillado</t>
  </si>
  <si>
    <t>KWH</t>
  </si>
  <si>
    <t>Costo Promedio Kwh</t>
  </si>
  <si>
    <t>Importe facturado al sector público</t>
  </si>
  <si>
    <t>Importe facturado a todos los usuarios excepto al  Sector Publico</t>
  </si>
  <si>
    <t># de tomas con clave  de medición (estimado, promedio, etc)</t>
  </si>
  <si>
    <t>Volumen Entregado No Facturado (Pipas, POI, Etc.)</t>
  </si>
  <si>
    <t>Habitantes (CONAPO)</t>
  </si>
  <si>
    <t>Dotación Habitante/Dia</t>
  </si>
  <si>
    <t>Consumo Habitante/Dia</t>
  </si>
  <si>
    <t>Mensual 2020</t>
  </si>
  <si>
    <t>Crecimiento mensual vs. 2019</t>
  </si>
  <si>
    <t>Crecimiento Acumulado vs. 2019</t>
  </si>
  <si>
    <t>Acumulado 2020</t>
  </si>
  <si>
    <t>Acumulado en el año 2020</t>
  </si>
  <si>
    <t>Costo por M3 alumbrado 2020</t>
  </si>
  <si>
    <t>Cortes efectivos del mes 2020</t>
  </si>
  <si>
    <t>Cortes acumulados en 2020</t>
  </si>
  <si>
    <t>Reconexiones del mes 2020 (independientemente del mes en que se hizo el corte)</t>
  </si>
  <si>
    <t>Reconexiones acumulado 2020</t>
  </si>
  <si>
    <t>Importe de multas cobradas en el mes 2020</t>
  </si>
  <si>
    <t>Importe de multas cobradas acumuladas 2020</t>
  </si>
  <si>
    <t>Eficiencia eventos de pago 2020</t>
  </si>
  <si>
    <t>importe de IVA recuperado acumulado en el año 2020</t>
  </si>
  <si>
    <t>Al cierre del mes 2020</t>
  </si>
  <si>
    <t xml:space="preserve">Septiembre 2016 </t>
  </si>
  <si>
    <t>Subtotal Empleados Activos 2020</t>
  </si>
  <si>
    <t>Subtotal emp. pensionados o jubilados 2020</t>
  </si>
  <si>
    <t>Eficiencia Cobranza s/ sector público</t>
  </si>
  <si>
    <t>Importe TOTAL cobrado a Tiempo</t>
  </si>
  <si>
    <t>Importe TOTAL cobrado de Rezago</t>
  </si>
  <si>
    <t>Cuentas con Rezago</t>
  </si>
  <si>
    <t>Comercial</t>
  </si>
  <si>
    <t>Domestico</t>
  </si>
  <si>
    <t>Industrial</t>
  </si>
  <si>
    <t>Publico</t>
  </si>
  <si>
    <t>Acumulado 2017</t>
  </si>
  <si>
    <t>Acumulado 2016</t>
  </si>
  <si>
    <t>Escolar</t>
  </si>
  <si>
    <t>KWH por m3</t>
  </si>
  <si>
    <t>Usuarios con Descuento Social</t>
  </si>
  <si>
    <t>Importe cobrado con Descuento Social</t>
  </si>
  <si>
    <t>PROGRAMA DE INDICADORES DE GESTION DE ORGANISMOS OPERADORES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</si>
  <si>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</si>
  <si>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</si>
  <si>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</si>
  <si>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</si>
  <si>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</si>
  <si>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</si>
  <si>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</si>
  <si>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</si>
  <si>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</si>
  <si>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</si>
  <si>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</si>
  <si>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</si>
  <si>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</si>
  <si>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</si>
  <si>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Presupuesto Anual</t>
  </si>
  <si>
    <t>Presupuesto Acumulado del Periodo</t>
  </si>
  <si>
    <t>Diferencia</t>
  </si>
  <si>
    <t>Ejer &amp; Ppto</t>
  </si>
  <si>
    <t>Resultados de Gestion</t>
  </si>
  <si>
    <t>1. Ingresos  (A+B)</t>
  </si>
  <si>
    <t>A) Ingresos propios netos (a+b+c)</t>
  </si>
  <si>
    <t>a) Ingresos propios (i+ii)</t>
  </si>
  <si>
    <t>i) ingresos por agua, alcantarillado y saneamiento</t>
  </si>
  <si>
    <t>ii) resto de los ingresos propios</t>
  </si>
  <si>
    <t>b) Descuento social</t>
  </si>
  <si>
    <t>c) Bonificaciones</t>
  </si>
  <si>
    <t>c) Ajustes</t>
  </si>
  <si>
    <t>B) Ingresos indirectos</t>
  </si>
  <si>
    <t>2. Egresos (A+B+C)</t>
  </si>
  <si>
    <t>A) Costos y gastos de Operación (a+b+c+d)</t>
  </si>
  <si>
    <t>a) Servicios personales</t>
  </si>
  <si>
    <t>b) Materiales y suministros</t>
  </si>
  <si>
    <t>c) Servicios Generales (i+ii+iii)</t>
  </si>
  <si>
    <t>i) Energía eléctrica (operación)</t>
  </si>
  <si>
    <t>ii) Aportaciones y Derechos (5% JCAS)</t>
  </si>
  <si>
    <t>iv) Resto de los Servicios</t>
  </si>
  <si>
    <t>Resultado del Ejercicio</t>
  </si>
  <si>
    <t>B) Creditos</t>
  </si>
  <si>
    <t>C) Inversiones propias</t>
  </si>
  <si>
    <t>Ampliación</t>
  </si>
  <si>
    <t>Rehabilitación</t>
  </si>
  <si>
    <t>Activo Fijo</t>
  </si>
  <si>
    <t>Deficit</t>
  </si>
  <si>
    <t>D) Inversiones de Gobierno</t>
  </si>
  <si>
    <t>Cuentas de Balance</t>
  </si>
  <si>
    <t>Saldo En Bancos</t>
  </si>
  <si>
    <t>Cuenta Corriente</t>
  </si>
  <si>
    <t>Provisiones</t>
  </si>
  <si>
    <t>Inversiones</t>
  </si>
  <si>
    <t>Activo Circulante</t>
  </si>
  <si>
    <t xml:space="preserve">       Activo Total</t>
  </si>
  <si>
    <t>Pasivo Circulante</t>
  </si>
  <si>
    <t xml:space="preserve">       Pasivo Total</t>
  </si>
  <si>
    <t xml:space="preserve">      Saldo DFEA pendente de pago</t>
  </si>
  <si>
    <t>Energía Eléctrica de Operación en KW (A+B+C)</t>
  </si>
  <si>
    <t>A) Agua potable</t>
  </si>
  <si>
    <t>B) Alcantarillado</t>
  </si>
  <si>
    <t>C) Saneamiento</t>
  </si>
  <si>
    <t>Desglose Consumo Eléctrico $ (Pesos)</t>
  </si>
  <si>
    <t>Avance de Estudio de Eficiencia Electromecanica (% avance)</t>
  </si>
  <si>
    <t>Avance de Diagnostico de Medición de Presiones y Recuperción de caudales (% avance)</t>
  </si>
  <si>
    <t>Agua Potable</t>
  </si>
  <si>
    <t>Pozo Profundo</t>
  </si>
  <si>
    <t>Galerias Filtrantes</t>
  </si>
  <si>
    <t>Manantial</t>
  </si>
  <si>
    <t>Presas</t>
  </si>
  <si>
    <t>Volumen de agua facturada en m3 (A+B+C+D+E)</t>
  </si>
  <si>
    <t>A) Doméstico</t>
  </si>
  <si>
    <t>B) Comercial</t>
  </si>
  <si>
    <t>C) Industrial</t>
  </si>
  <si>
    <t>D) Escolar</t>
  </si>
  <si>
    <t>E) Público</t>
  </si>
  <si>
    <t>Volumen de agua cobrado en m3 (A+B)</t>
  </si>
  <si>
    <t>A) A Tiempo</t>
  </si>
  <si>
    <t>B) Con Rezago</t>
  </si>
  <si>
    <t>Saneamiento</t>
  </si>
  <si>
    <t>Agua Tratada (lagunas de oxidación, PTAR, etc)</t>
  </si>
  <si>
    <t>Volumen de agua tratado en m3 (entra a planta)</t>
  </si>
  <si>
    <t>Volumen de agua producido en m3 (sale de planta)</t>
  </si>
  <si>
    <t xml:space="preserve">     A) Vendida</t>
  </si>
  <si>
    <t xml:space="preserve">     B) Comprometida</t>
  </si>
  <si>
    <t xml:space="preserve">     C) Descargada</t>
  </si>
  <si>
    <t>Facturación de Agua, Alcant. y Saneamiento en $ (A+B+C+D+E)</t>
  </si>
  <si>
    <t>Cobrado de Agua, Alcant. y Saneamiento en $ (A+B+C+D+E)</t>
  </si>
  <si>
    <t>No. De Reconexiones del Mes</t>
  </si>
  <si>
    <t>Importe de Multas Cobradas</t>
  </si>
  <si>
    <t/>
  </si>
  <si>
    <t>Padrón de usuarios</t>
  </si>
  <si>
    <t>Total de conexiones de agua Activas (A+B)</t>
  </si>
  <si>
    <t>A) Conexiones de servicio medido  (a+b+c+d+e)</t>
  </si>
  <si>
    <t>a) Doméstico</t>
  </si>
  <si>
    <t>b) Comercial</t>
  </si>
  <si>
    <t>c) Industrial</t>
  </si>
  <si>
    <t>d) Escolar</t>
  </si>
  <si>
    <t>e) Público</t>
  </si>
  <si>
    <t>B) Conexiones de cuota fija (a+b+c+d+e)</t>
  </si>
  <si>
    <t>C) Conexiones No Activas o Congeladas</t>
  </si>
  <si>
    <t>Total de descargas de alcantarillado</t>
  </si>
  <si>
    <t xml:space="preserve">Analítico del Rezago </t>
  </si>
  <si>
    <t>Monto del Rezago (A+B+C)</t>
  </si>
  <si>
    <t>A) Rezago cobrable (a+b+c)</t>
  </si>
  <si>
    <t>B) Escolar</t>
  </si>
  <si>
    <t>C) Público</t>
  </si>
  <si>
    <t>No. De tomas con rezago:</t>
  </si>
  <si>
    <t xml:space="preserve">              2 meses</t>
  </si>
  <si>
    <t xml:space="preserve">              4 meses</t>
  </si>
  <si>
    <t xml:space="preserve">              8 meses</t>
  </si>
  <si>
    <t xml:space="preserve">              1 año</t>
  </si>
  <si>
    <t>Tarifa mas Popular $</t>
  </si>
  <si>
    <t xml:space="preserve">              Domiciliaria $   _____m3</t>
  </si>
  <si>
    <t xml:space="preserve">               Comercial $  _____m3</t>
  </si>
  <si>
    <t xml:space="preserve">               Industrial $   _____m3</t>
  </si>
  <si>
    <t>A los usuarios de cuota fija se asigna volumen estimado m3/mes</t>
  </si>
  <si>
    <t xml:space="preserve">Coberturas de servicios </t>
  </si>
  <si>
    <t>No. habitantes según censo de INEGI</t>
  </si>
  <si>
    <t>No. de habitantes con servicio de agua potable</t>
  </si>
  <si>
    <t>No. de habitantes con servicio de alcantarillado</t>
  </si>
  <si>
    <t>No. de Localidades Atendidas (comunidades o comites de agua)</t>
  </si>
  <si>
    <t>No. de usuarios  en las Localidades Atendidas</t>
  </si>
  <si>
    <t xml:space="preserve">No. de usuarios con pagos a tiempo </t>
  </si>
  <si>
    <t>No. de usuarios con descuento social</t>
  </si>
  <si>
    <t>Presion minima de suministro en la red (mca)</t>
  </si>
  <si>
    <t>Presión media de suministro en la red (mca)</t>
  </si>
  <si>
    <t>Presion maxima de suministro en la red (mca)</t>
  </si>
  <si>
    <t>Longitud total de tubería de distribución (km)</t>
  </si>
  <si>
    <t>Longitud total de Alcantarillado (km)</t>
  </si>
  <si>
    <t>Longitud de tubería de distribución  rehabilitada (Km)</t>
  </si>
  <si>
    <t>No. de micromedidores rehabilitados</t>
  </si>
  <si>
    <t>No. de micromedidores Instalados Nuevos</t>
  </si>
  <si>
    <t>No. de micromedidores funcionando</t>
  </si>
  <si>
    <t>No. de micromedidores calibrados</t>
  </si>
  <si>
    <t>No. de macromedidores instalados en captaciones</t>
  </si>
  <si>
    <t>No. de macromedidores funcionando</t>
  </si>
  <si>
    <t>No. de macromedidores calibrados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</si>
  <si>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</si>
  <si>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</si>
  <si>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</si>
  <si>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</si>
  <si>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</si>
  <si>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</si>
  <si>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No. Fuentes de abastecimiento Activas</t>
  </si>
  <si>
    <t>No. De Tanques de Almacenamiento</t>
  </si>
  <si>
    <t>Recursos humanos</t>
  </si>
  <si>
    <t>A) Empleados Activos (a+b+c)</t>
  </si>
  <si>
    <t>a) Administración          Confianza</t>
  </si>
  <si>
    <t xml:space="preserve">                                   Sindicalizados</t>
  </si>
  <si>
    <t>b) Comercialización       Confianza</t>
  </si>
  <si>
    <t>c) Operación                 Confianza</t>
  </si>
  <si>
    <t xml:space="preserve">                                          Sindicalizados</t>
  </si>
  <si>
    <t>Sistemas de Información de Usuarios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</si>
  <si>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</si>
  <si>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</si>
  <si>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</si>
  <si>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</si>
  <si>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</si>
  <si>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</si>
  <si>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</si>
  <si>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</si>
  <si>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 xml:space="preserve">Volumen Cobrado a Tiempo         </t>
  </si>
  <si>
    <t xml:space="preserve">Volumen Cobrado de Rezago         </t>
  </si>
  <si>
    <t>Pago Electricidad Mensual 2020</t>
  </si>
  <si>
    <t>Pago Electricidad Menusal 2019</t>
  </si>
  <si>
    <t>Eventos de pago a tiempo del mes 2020</t>
  </si>
  <si>
    <t>Eventos de pago a tiempo del mes 2019</t>
  </si>
  <si>
    <t># de medidores nuevos instalados en usuarios en el mes</t>
  </si>
  <si>
    <t># de medidores nuevos instalados en usuarios acumulado</t>
  </si>
  <si>
    <t xml:space="preserve">iii) DFEA Pagados </t>
  </si>
  <si>
    <t>d) Apoyos y transferencias y Otros</t>
  </si>
  <si>
    <t>EFICIENCIA FISICA</t>
  </si>
  <si>
    <t>Saltillo</t>
  </si>
  <si>
    <t>Monterrey</t>
  </si>
  <si>
    <t>Eficiencia Cobranza</t>
  </si>
  <si>
    <t>EFICIENCIA COBRANZA</t>
  </si>
  <si>
    <t>EFICIENCIA COMERCIAL</t>
  </si>
  <si>
    <t>DOTACION Y CONSUMO</t>
  </si>
  <si>
    <t>Dotación l/h/d</t>
  </si>
  <si>
    <t>Consumo l/h/d</t>
  </si>
  <si>
    <t>COMPORTAMIENTO DE REZAGO</t>
  </si>
  <si>
    <t>No. De Cortes Efectivos del Mes</t>
  </si>
  <si>
    <t>Con  Medición</t>
  </si>
  <si>
    <t>Servicio Continuo</t>
  </si>
  <si>
    <t>Padron Usuarios Total</t>
  </si>
  <si>
    <t>NÚMERO DE EMPLEADOS POR CADA 100 TOMAS</t>
  </si>
  <si>
    <t>PADRON DE USUARIOS</t>
  </si>
  <si>
    <t>No. Empleados X cada 1,000 Tomas</t>
  </si>
  <si>
    <t>ENERGÍA ELÉCTRICA</t>
  </si>
  <si>
    <r>
      <t>Costo Por m</t>
    </r>
    <r>
      <rPr>
        <vertAlign val="superscript"/>
        <sz val="11"/>
        <color theme="1"/>
        <rFont val="Calibri"/>
        <family val="2"/>
        <scheme val="minor"/>
      </rPr>
      <t>3</t>
    </r>
  </si>
  <si>
    <t>Costo Promedio KWH</t>
  </si>
  <si>
    <r>
      <t>KWH por m</t>
    </r>
    <r>
      <rPr>
        <vertAlign val="superscript"/>
        <sz val="11"/>
        <color theme="1"/>
        <rFont val="Calibri"/>
        <family val="2"/>
        <scheme val="minor"/>
      </rPr>
      <t>3</t>
    </r>
  </si>
  <si>
    <t>miles de usuarios</t>
  </si>
  <si>
    <t>Eficiencia Cobranza Agua Tratada (incluyendo SP)</t>
  </si>
  <si>
    <t>Precio Venta</t>
  </si>
  <si>
    <t>* NO REPETIR LAS BONIFICACIONES, DESCUENTOS Y AJUSTES EN LOS GASTOS OPERATIVOS.</t>
  </si>
  <si>
    <t>Costo c/ Operación</t>
  </si>
  <si>
    <t>Costo c/ Inversión</t>
  </si>
  <si>
    <r>
      <t>VALOR m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</si>
  <si>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t>Cobertura de Alcantarillado</t>
  </si>
  <si>
    <t>- SE CAPTURAN LOS QUE SE DESCRIBE CON LETRAS ROJAS Y EN BASE A LOS COMENTARIOS INCLUIDOS EN CADA TÍTULO.</t>
  </si>
  <si>
    <t>- LLENAR TODOS LOS CONCPETOS AUN CUANDO NO APLIQUEN (N/A)</t>
  </si>
  <si>
    <t>- LA INFORMACIÓN QUE CAPTUREN DEBE SER ANALIZADO PREVIAMENTE POR LOS TITULARES YA QUE ES SU OBLIGACIÓN EL CONTENIDO Y LA LEY GENERAL DE RESPONSABILIDADES ADMINISTRATIVAS CONTEMPLA SANSIONES EN CASO DE QUE LA INFORMACIÓN NO SE MANDE DE MANERA CORRECTA O PRESENTE INFORMACIÓN FALSA Y LO CONTEMPA COMO DESACATO ART. 63 DE LA CITADA LEY.</t>
  </si>
  <si>
    <t>- AL FINAL SE INCLUYEN ALGUNAS GRAFICAS DE INDICADORES QUE MUESTRAN EL COMPORTAMIENTO MENSUAL, PARA QUE NO SE HAGAN MODIFICACIONES Y SOLO SE CAPTURE LO SEÑALADO.</t>
  </si>
  <si>
    <t>JUNTA MUNICIPAL DE AGUA Y SANEAMIENTO DE VILLA LOPEZ</t>
  </si>
  <si>
    <t>Ejercicio Fiscal 2022</t>
  </si>
  <si>
    <t>Volumen de agua producida en m3</t>
  </si>
  <si>
    <t>Volumen de Almacenamiento de los Tanques m3</t>
  </si>
  <si>
    <t>B) Pensionados y jubilados   Confianza</t>
  </si>
  <si>
    <t>Bajo protesta de decir verdad declaramos que los Estados Financieros y sus notas, son razonablemente correctos y son responsabilidad del emisor.</t>
  </si>
  <si>
    <t>LIC. JUAN MANUEL RAMOS GARCIA</t>
  </si>
  <si>
    <t>DIRECTOR EJECUTIVO</t>
  </si>
  <si>
    <t>C. ALMA DE JESUS MENDOZA OLIVAS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</si>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</sst>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_-;\-* #,##0_-;_-* &quot;-&quot;??_-;_-@_-"/>
    <numFmt numFmtId="168" formatCode="_-&quot;$&quot;* #,##0_-;\-&quot;$&quot;* #,##0_-;_-&quot;$&quot;* &quot;-&quot;??_-;_-@_-"/>
    <numFmt numFmtId="169" formatCode="0.0"/>
    <numFmt numFmtId="170" formatCode="#,##0.00_ ;\-#,##0.00\ "/>
    <numFmt numFmtId="171" formatCode="_(* #,##0_);_(* \(#,##0\);_(* &quot;-&quot;??_);_(@_)"/>
    <numFmt numFmtId="172" formatCode="#,##0.00_ ;[Red]\-#,##0.00\ "/>
    <numFmt numFmtId="173" formatCode="#,##0_ ;[Red]\-#,##0\ "/>
    <numFmt numFmtId="174" formatCode="#,##0.00;[Red]#,##0.00"/>
    <numFmt numFmtId="175" formatCode="_-* #,##0.0_-;\-* #,##0.0_-;_-* &quot;-&quot;??_-;_-@_-"/>
    <numFmt numFmtId="176" formatCode="_-* #,##0.000_-;\-* #,##0.000_-;_-* &quot;-&quot;??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i/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rgb="FF002060"/>
      <name val="Arial"/>
      <family val="2"/>
    </font>
    <font>
      <b/>
      <vertAlign val="superscript"/>
      <sz val="14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FF0000"/>
      </left>
      <right style="medium">
        <color indexed="64"/>
      </right>
      <top style="double">
        <color rgb="FFFF0000"/>
      </top>
      <bottom/>
      <diagonal/>
    </border>
    <border>
      <left style="medium">
        <color indexed="64"/>
      </left>
      <right/>
      <top style="double">
        <color rgb="FFFF0000"/>
      </top>
      <bottom/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rgb="FFFF0000"/>
      </right>
      <top style="medium">
        <color indexed="64"/>
      </top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7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0" fillId="2" borderId="7" xfId="0" applyFill="1" applyBorder="1" applyAlignment="1">
      <alignment vertical="center" wrapText="1"/>
    </xf>
    <xf numFmtId="3" fontId="0" fillId="2" borderId="7" xfId="0" applyNumberFormat="1" applyFill="1" applyBorder="1" applyAlignment="1">
      <alignment vertical="center"/>
    </xf>
    <xf numFmtId="3" fontId="0" fillId="2" borderId="8" xfId="0" applyNumberFormat="1" applyFill="1" applyBorder="1" applyAlignment="1">
      <alignment vertical="center"/>
    </xf>
    <xf numFmtId="167" fontId="0" fillId="2" borderId="8" xfId="0" applyNumberFormat="1" applyFill="1" applyBorder="1" applyAlignment="1">
      <alignment vertical="center"/>
    </xf>
    <xf numFmtId="0" fontId="0" fillId="0" borderId="7" xfId="0" applyFill="1" applyBorder="1" applyAlignment="1">
      <alignment vertical="center" wrapText="1"/>
    </xf>
    <xf numFmtId="9" fontId="0" fillId="0" borderId="8" xfId="3" applyFont="1" applyBorder="1" applyAlignment="1">
      <alignment vertical="center"/>
    </xf>
    <xf numFmtId="10" fontId="0" fillId="0" borderId="8" xfId="3" applyNumberFormat="1" applyFont="1" applyBorder="1" applyAlignment="1">
      <alignment vertical="center"/>
    </xf>
    <xf numFmtId="9" fontId="0" fillId="2" borderId="8" xfId="3" applyFont="1" applyFill="1" applyBorder="1" applyAlignment="1">
      <alignment vertical="center"/>
    </xf>
    <xf numFmtId="10" fontId="0" fillId="2" borderId="8" xfId="3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7" fontId="0" fillId="0" borderId="3" xfId="0" applyNumberFormat="1" applyBorder="1" applyAlignment="1">
      <alignment vertical="center"/>
    </xf>
    <xf numFmtId="0" fontId="0" fillId="3" borderId="7" xfId="0" applyFill="1" applyBorder="1" applyAlignment="1">
      <alignment vertical="center" wrapText="1"/>
    </xf>
    <xf numFmtId="3" fontId="0" fillId="3" borderId="7" xfId="0" applyNumberFormat="1" applyFill="1" applyBorder="1" applyAlignment="1">
      <alignment vertical="center"/>
    </xf>
    <xf numFmtId="3" fontId="0" fillId="3" borderId="8" xfId="0" applyNumberFormat="1" applyFill="1" applyBorder="1" applyAlignment="1">
      <alignment vertical="center"/>
    </xf>
    <xf numFmtId="167" fontId="0" fillId="3" borderId="8" xfId="0" applyNumberFormat="1" applyFill="1" applyBorder="1" applyAlignment="1">
      <alignment vertical="center"/>
    </xf>
    <xf numFmtId="9" fontId="0" fillId="3" borderId="8" xfId="3" applyFont="1" applyFill="1" applyBorder="1" applyAlignment="1">
      <alignment vertical="center"/>
    </xf>
    <xf numFmtId="10" fontId="0" fillId="3" borderId="8" xfId="3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3" fontId="0" fillId="4" borderId="7" xfId="0" applyNumberFormat="1" applyFill="1" applyBorder="1" applyAlignment="1">
      <alignment vertical="center"/>
    </xf>
    <xf numFmtId="3" fontId="0" fillId="4" borderId="8" xfId="0" applyNumberFormat="1" applyFill="1" applyBorder="1" applyAlignment="1">
      <alignment vertical="center"/>
    </xf>
    <xf numFmtId="9" fontId="0" fillId="4" borderId="8" xfId="3" applyFont="1" applyFill="1" applyBorder="1" applyAlignment="1">
      <alignment vertical="center"/>
    </xf>
    <xf numFmtId="10" fontId="0" fillId="4" borderId="8" xfId="3" applyNumberFormat="1" applyFont="1" applyFill="1" applyBorder="1" applyAlignment="1">
      <alignment vertical="center"/>
    </xf>
    <xf numFmtId="0" fontId="7" fillId="5" borderId="7" xfId="0" applyFont="1" applyFill="1" applyBorder="1" applyAlignment="1">
      <alignment vertical="center" wrapText="1"/>
    </xf>
    <xf numFmtId="9" fontId="8" fillId="5" borderId="3" xfId="3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9" fontId="8" fillId="0" borderId="8" xfId="3" applyFont="1" applyBorder="1" applyAlignment="1">
      <alignment vertical="center"/>
    </xf>
    <xf numFmtId="0" fontId="7" fillId="5" borderId="9" xfId="0" applyFont="1" applyFill="1" applyBorder="1" applyAlignment="1">
      <alignment vertical="center" wrapText="1"/>
    </xf>
    <xf numFmtId="9" fontId="8" fillId="5" borderId="12" xfId="3" applyFont="1" applyFill="1" applyBorder="1" applyAlignment="1">
      <alignment vertical="center"/>
    </xf>
    <xf numFmtId="168" fontId="0" fillId="0" borderId="3" xfId="0" applyNumberFormat="1" applyBorder="1" applyAlignment="1">
      <alignment vertical="center"/>
    </xf>
    <xf numFmtId="3" fontId="0" fillId="6" borderId="7" xfId="0" applyNumberFormat="1" applyFill="1" applyBorder="1" applyAlignment="1">
      <alignment vertical="center"/>
    </xf>
    <xf numFmtId="3" fontId="0" fillId="6" borderId="8" xfId="0" applyNumberFormat="1" applyFill="1" applyBorder="1" applyAlignment="1">
      <alignment vertical="center"/>
    </xf>
    <xf numFmtId="168" fontId="0" fillId="6" borderId="8" xfId="0" applyNumberFormat="1" applyFill="1" applyBorder="1" applyAlignment="1">
      <alignment vertical="center"/>
    </xf>
    <xf numFmtId="0" fontId="0" fillId="3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3" fontId="0" fillId="0" borderId="3" xfId="1" applyNumberFormat="1" applyFont="1" applyBorder="1" applyAlignment="1">
      <alignment vertical="center"/>
    </xf>
    <xf numFmtId="0" fontId="0" fillId="4" borderId="10" xfId="0" applyFill="1" applyBorder="1" applyAlignment="1">
      <alignment vertical="center" wrapText="1"/>
    </xf>
    <xf numFmtId="168" fontId="0" fillId="4" borderId="8" xfId="0" applyNumberFormat="1" applyFill="1" applyBorder="1" applyAlignment="1">
      <alignment vertical="center"/>
    </xf>
    <xf numFmtId="9" fontId="0" fillId="0" borderId="7" xfId="3" applyFont="1" applyBorder="1" applyAlignment="1">
      <alignment vertical="center"/>
    </xf>
    <xf numFmtId="9" fontId="0" fillId="4" borderId="7" xfId="3" applyFont="1" applyFill="1" applyBorder="1" applyAlignment="1">
      <alignment vertical="center"/>
    </xf>
    <xf numFmtId="0" fontId="0" fillId="4" borderId="11" xfId="0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9" fontId="2" fillId="5" borderId="5" xfId="3" applyFont="1" applyFill="1" applyBorder="1" applyAlignment="1">
      <alignment vertical="center"/>
    </xf>
    <xf numFmtId="0" fontId="10" fillId="0" borderId="10" xfId="0" applyFont="1" applyFill="1" applyBorder="1" applyAlignment="1">
      <alignment vertical="center" wrapText="1"/>
    </xf>
    <xf numFmtId="9" fontId="2" fillId="0" borderId="7" xfId="3" applyFont="1" applyFill="1" applyBorder="1" applyAlignment="1">
      <alignment vertical="center"/>
    </xf>
    <xf numFmtId="0" fontId="10" fillId="5" borderId="11" xfId="0" applyFont="1" applyFill="1" applyBorder="1" applyAlignment="1">
      <alignment vertical="center" wrapText="1"/>
    </xf>
    <xf numFmtId="9" fontId="2" fillId="5" borderId="9" xfId="3" applyFont="1" applyFill="1" applyBorder="1" applyAlignment="1">
      <alignment vertical="center"/>
    </xf>
    <xf numFmtId="0" fontId="0" fillId="6" borderId="10" xfId="0" applyFill="1" applyBorder="1" applyAlignment="1">
      <alignment vertical="center" wrapText="1"/>
    </xf>
    <xf numFmtId="167" fontId="0" fillId="6" borderId="8" xfId="0" applyNumberFormat="1" applyFill="1" applyBorder="1" applyAlignment="1">
      <alignment vertical="center"/>
    </xf>
    <xf numFmtId="9" fontId="0" fillId="6" borderId="7" xfId="3" applyFont="1" applyFill="1" applyBorder="1" applyAlignment="1">
      <alignment vertical="center"/>
    </xf>
    <xf numFmtId="9" fontId="0" fillId="6" borderId="8" xfId="3" applyFont="1" applyFill="1" applyBorder="1" applyAlignment="1">
      <alignment vertical="center"/>
    </xf>
    <xf numFmtId="10" fontId="0" fillId="6" borderId="8" xfId="3" applyNumberFormat="1" applyFont="1" applyFill="1" applyBorder="1" applyAlignment="1">
      <alignment vertical="center"/>
    </xf>
    <xf numFmtId="0" fontId="0" fillId="6" borderId="11" xfId="0" applyFill="1" applyBorder="1" applyAlignment="1">
      <alignment vertical="center" wrapText="1"/>
    </xf>
    <xf numFmtId="3" fontId="0" fillId="6" borderId="9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10" xfId="0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9" fontId="0" fillId="2" borderId="7" xfId="3" applyFont="1" applyFill="1" applyBorder="1" applyAlignment="1">
      <alignment vertical="center"/>
    </xf>
    <xf numFmtId="0" fontId="0" fillId="2" borderId="11" xfId="0" applyFill="1" applyBorder="1" applyAlignment="1">
      <alignment vertical="center" wrapText="1"/>
    </xf>
    <xf numFmtId="3" fontId="0" fillId="2" borderId="9" xfId="0" applyNumberFormat="1" applyFill="1" applyBorder="1" applyAlignment="1">
      <alignment vertical="center"/>
    </xf>
    <xf numFmtId="3" fontId="0" fillId="2" borderId="12" xfId="0" applyNumberForma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3" borderId="10" xfId="0" applyFill="1" applyBorder="1" applyAlignment="1">
      <alignment vertical="center" wrapText="1"/>
    </xf>
    <xf numFmtId="0" fontId="0" fillId="3" borderId="8" xfId="0" applyFill="1" applyBorder="1" applyAlignment="1">
      <alignment vertical="center"/>
    </xf>
    <xf numFmtId="9" fontId="0" fillId="3" borderId="7" xfId="3" applyFont="1" applyFill="1" applyBorder="1" applyAlignment="1">
      <alignment vertical="center"/>
    </xf>
    <xf numFmtId="0" fontId="0" fillId="3" borderId="11" xfId="0" applyFill="1" applyBorder="1" applyAlignment="1">
      <alignment vertical="center" wrapText="1"/>
    </xf>
    <xf numFmtId="3" fontId="0" fillId="3" borderId="12" xfId="0" applyNumberForma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3" fontId="0" fillId="4" borderId="9" xfId="0" applyNumberFormat="1" applyFill="1" applyBorder="1" applyAlignment="1">
      <alignment vertical="center"/>
    </xf>
    <xf numFmtId="3" fontId="0" fillId="4" borderId="12" xfId="0" applyNumberFormat="1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0" borderId="7" xfId="3" applyNumberFormat="1" applyFont="1" applyBorder="1" applyAlignment="1">
      <alignment vertical="center"/>
    </xf>
    <xf numFmtId="0" fontId="0" fillId="0" borderId="8" xfId="3" applyNumberFormat="1" applyFont="1" applyBorder="1" applyAlignment="1">
      <alignment vertical="center"/>
    </xf>
    <xf numFmtId="0" fontId="0" fillId="6" borderId="7" xfId="3" applyNumberFormat="1" applyFont="1" applyFill="1" applyBorder="1" applyAlignment="1">
      <alignment vertical="center"/>
    </xf>
    <xf numFmtId="0" fontId="0" fillId="6" borderId="8" xfId="3" applyNumberFormat="1" applyFont="1" applyFill="1" applyBorder="1" applyAlignment="1">
      <alignment vertical="center"/>
    </xf>
    <xf numFmtId="3" fontId="0" fillId="6" borderId="12" xfId="0" applyNumberFormat="1" applyFill="1" applyBorder="1" applyAlignment="1">
      <alignment vertical="center"/>
    </xf>
    <xf numFmtId="3" fontId="0" fillId="3" borderId="9" xfId="0" applyNumberForma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9" fontId="2" fillId="5" borderId="3" xfId="3" applyFont="1" applyFill="1" applyBorder="1" applyAlignment="1">
      <alignment vertical="center"/>
    </xf>
    <xf numFmtId="0" fontId="2" fillId="7" borderId="8" xfId="0" applyFont="1" applyFill="1" applyBorder="1" applyAlignment="1">
      <alignment vertical="center" wrapText="1"/>
    </xf>
    <xf numFmtId="9" fontId="2" fillId="7" borderId="8" xfId="3" applyFont="1" applyFill="1" applyBorder="1" applyAlignment="1">
      <alignment vertical="center"/>
    </xf>
    <xf numFmtId="167" fontId="0" fillId="0" borderId="7" xfId="1" applyNumberFormat="1" applyFont="1" applyBorder="1" applyAlignment="1">
      <alignment vertical="center"/>
    </xf>
    <xf numFmtId="167" fontId="0" fillId="0" borderId="8" xfId="1" applyNumberFormat="1" applyFont="1" applyBorder="1" applyAlignment="1">
      <alignment vertical="center"/>
    </xf>
    <xf numFmtId="2" fontId="0" fillId="4" borderId="7" xfId="0" applyNumberFormat="1" applyFill="1" applyBorder="1" applyAlignment="1">
      <alignment vertical="center"/>
    </xf>
    <xf numFmtId="165" fontId="0" fillId="4" borderId="7" xfId="2" applyNumberFormat="1" applyFont="1" applyFill="1" applyBorder="1" applyAlignment="1">
      <alignment vertical="center"/>
    </xf>
    <xf numFmtId="165" fontId="0" fillId="4" borderId="7" xfId="0" applyNumberFormat="1" applyFill="1" applyBorder="1" applyAlignment="1">
      <alignment vertical="center"/>
    </xf>
    <xf numFmtId="0" fontId="11" fillId="5" borderId="5" xfId="0" applyFont="1" applyFill="1" applyBorder="1" applyAlignment="1">
      <alignment vertical="center" wrapText="1"/>
    </xf>
    <xf numFmtId="9" fontId="11" fillId="5" borderId="5" xfId="3" applyFont="1" applyFill="1" applyBorder="1" applyAlignment="1">
      <alignment vertical="center"/>
    </xf>
    <xf numFmtId="9" fontId="11" fillId="5" borderId="3" xfId="3" applyFont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0" fontId="0" fillId="0" borderId="7" xfId="3" applyNumberFormat="1" applyFont="1" applyBorder="1" applyAlignment="1">
      <alignment vertical="center"/>
    </xf>
    <xf numFmtId="3" fontId="11" fillId="3" borderId="7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 wrapText="1"/>
    </xf>
    <xf numFmtId="0" fontId="0" fillId="3" borderId="14" xfId="0" applyFont="1" applyFill="1" applyBorder="1" applyAlignment="1">
      <alignment vertical="center" wrapText="1"/>
    </xf>
    <xf numFmtId="9" fontId="0" fillId="3" borderId="9" xfId="3" applyFont="1" applyFill="1" applyBorder="1" applyAlignment="1">
      <alignment vertical="center"/>
    </xf>
    <xf numFmtId="164" fontId="0" fillId="4" borderId="5" xfId="2" applyNumberFormat="1" applyFont="1" applyFill="1" applyBorder="1" applyAlignment="1">
      <alignment vertical="center"/>
    </xf>
    <xf numFmtId="164" fontId="0" fillId="4" borderId="3" xfId="2" applyNumberFormat="1" applyFont="1" applyFill="1" applyBorder="1" applyAlignment="1">
      <alignment vertical="center"/>
    </xf>
    <xf numFmtId="164" fontId="0" fillId="0" borderId="7" xfId="2" applyNumberFormat="1" applyFont="1" applyBorder="1" applyAlignment="1">
      <alignment vertical="center"/>
    </xf>
    <xf numFmtId="164" fontId="0" fillId="0" borderId="8" xfId="2" applyNumberFormat="1" applyFont="1" applyBorder="1" applyAlignment="1">
      <alignment vertical="center"/>
    </xf>
    <xf numFmtId="164" fontId="0" fillId="4" borderId="9" xfId="2" applyNumberFormat="1" applyFont="1" applyFill="1" applyBorder="1" applyAlignment="1">
      <alignment vertical="center"/>
    </xf>
    <xf numFmtId="164" fontId="0" fillId="4" borderId="12" xfId="2" applyNumberFormat="1" applyFont="1" applyFill="1" applyBorder="1" applyAlignment="1">
      <alignment vertical="center"/>
    </xf>
    <xf numFmtId="3" fontId="0" fillId="6" borderId="7" xfId="1" applyNumberFormat="1" applyFont="1" applyFill="1" applyBorder="1" applyAlignment="1">
      <alignment vertical="center"/>
    </xf>
    <xf numFmtId="3" fontId="0" fillId="6" borderId="8" xfId="1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3" fontId="0" fillId="2" borderId="1" xfId="1" applyNumberFormat="1" applyFont="1" applyFill="1" applyBorder="1" applyAlignment="1">
      <alignment vertical="center"/>
    </xf>
    <xf numFmtId="3" fontId="0" fillId="4" borderId="6" xfId="1" applyNumberFormat="1" applyFont="1" applyFill="1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12" fillId="4" borderId="10" xfId="0" applyFont="1" applyFill="1" applyBorder="1" applyAlignment="1">
      <alignment vertical="center" wrapText="1"/>
    </xf>
    <xf numFmtId="3" fontId="0" fillId="4" borderId="10" xfId="0" applyNumberFormat="1" applyFill="1" applyBorder="1" applyAlignment="1">
      <alignment vertical="center"/>
    </xf>
    <xf numFmtId="0" fontId="12" fillId="0" borderId="11" xfId="0" applyFont="1" applyFill="1" applyBorder="1" applyAlignment="1">
      <alignment vertical="center" wrapText="1"/>
    </xf>
    <xf numFmtId="9" fontId="0" fillId="0" borderId="10" xfId="3" applyFont="1" applyBorder="1" applyAlignment="1">
      <alignment vertical="center"/>
    </xf>
    <xf numFmtId="9" fontId="0" fillId="0" borderId="9" xfId="3" applyFont="1" applyBorder="1" applyAlignment="1">
      <alignment vertical="center"/>
    </xf>
    <xf numFmtId="3" fontId="0" fillId="4" borderId="5" xfId="1" applyNumberFormat="1" applyFont="1" applyFill="1" applyBorder="1" applyAlignment="1">
      <alignment vertical="center"/>
    </xf>
    <xf numFmtId="167" fontId="0" fillId="0" borderId="0" xfId="1" applyNumberFormat="1" applyFont="1" applyAlignment="1">
      <alignment vertical="center"/>
    </xf>
    <xf numFmtId="9" fontId="0" fillId="0" borderId="11" xfId="3" applyFont="1" applyBorder="1" applyAlignment="1">
      <alignment vertical="center"/>
    </xf>
    <xf numFmtId="3" fontId="0" fillId="4" borderId="7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4" borderId="7" xfId="0" applyFill="1" applyBorder="1" applyAlignment="1">
      <alignment vertical="center"/>
    </xf>
    <xf numFmtId="167" fontId="0" fillId="4" borderId="7" xfId="0" applyNumberFormat="1" applyFill="1" applyBorder="1" applyAlignment="1">
      <alignment vertical="center"/>
    </xf>
    <xf numFmtId="0" fontId="0" fillId="0" borderId="10" xfId="3" applyNumberFormat="1" applyFont="1" applyBorder="1" applyAlignment="1">
      <alignment vertical="center"/>
    </xf>
    <xf numFmtId="3" fontId="0" fillId="4" borderId="3" xfId="0" applyNumberForma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12" fillId="4" borderId="7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3" fontId="0" fillId="5" borderId="5" xfId="1" applyNumberFormat="1" applyFont="1" applyFill="1" applyBorder="1" applyAlignment="1">
      <alignment vertical="center"/>
    </xf>
    <xf numFmtId="3" fontId="0" fillId="0" borderId="7" xfId="1" applyNumberFormat="1" applyFont="1" applyFill="1" applyBorder="1" applyAlignment="1">
      <alignment vertical="center"/>
    </xf>
    <xf numFmtId="3" fontId="0" fillId="5" borderId="7" xfId="1" applyNumberFormat="1" applyFont="1" applyFill="1" applyBorder="1" applyAlignment="1">
      <alignment vertical="center"/>
    </xf>
    <xf numFmtId="3" fontId="0" fillId="0" borderId="7" xfId="1" applyNumberFormat="1" applyFont="1" applyBorder="1" applyAlignment="1">
      <alignment vertical="center"/>
    </xf>
    <xf numFmtId="3" fontId="13" fillId="5" borderId="7" xfId="1" applyNumberFormat="1" applyFont="1" applyFill="1" applyBorder="1" applyAlignment="1">
      <alignment vertical="center"/>
    </xf>
    <xf numFmtId="3" fontId="14" fillId="0" borderId="9" xfId="1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169" fontId="0" fillId="0" borderId="5" xfId="0" applyNumberFormat="1" applyBorder="1" applyAlignment="1">
      <alignment vertical="center"/>
    </xf>
    <xf numFmtId="0" fontId="13" fillId="6" borderId="7" xfId="0" applyFont="1" applyFill="1" applyBorder="1" applyAlignment="1">
      <alignment vertical="center" wrapText="1"/>
    </xf>
    <xf numFmtId="169" fontId="0" fillId="6" borderId="9" xfId="0" applyNumberFormat="1" applyFill="1" applyBorder="1" applyAlignment="1">
      <alignment vertical="center"/>
    </xf>
    <xf numFmtId="168" fontId="0" fillId="0" borderId="9" xfId="0" applyNumberFormat="1" applyFill="1" applyBorder="1" applyAlignment="1">
      <alignment vertical="center" wrapText="1"/>
    </xf>
    <xf numFmtId="3" fontId="0" fillId="0" borderId="9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6" fillId="0" borderId="0" xfId="0" applyFont="1" applyAlignment="1">
      <alignment vertical="center"/>
    </xf>
    <xf numFmtId="3" fontId="0" fillId="0" borderId="5" xfId="0" applyNumberFormat="1" applyBorder="1"/>
    <xf numFmtId="3" fontId="0" fillId="0" borderId="3" xfId="0" applyNumberFormat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4" borderId="7" xfId="0" applyNumberFormat="1" applyFill="1" applyBorder="1"/>
    <xf numFmtId="3" fontId="0" fillId="4" borderId="8" xfId="0" applyNumberFormat="1" applyFill="1" applyBorder="1"/>
    <xf numFmtId="0" fontId="0" fillId="0" borderId="5" xfId="0" applyBorder="1"/>
    <xf numFmtId="0" fontId="0" fillId="0" borderId="3" xfId="0" applyBorder="1"/>
    <xf numFmtId="0" fontId="0" fillId="3" borderId="7" xfId="0" applyFill="1" applyBorder="1"/>
    <xf numFmtId="0" fontId="0" fillId="3" borderId="8" xfId="0" applyFill="1" applyBorder="1"/>
    <xf numFmtId="0" fontId="0" fillId="6" borderId="7" xfId="0" applyFill="1" applyBorder="1"/>
    <xf numFmtId="0" fontId="0" fillId="6" borderId="8" xfId="0" applyFill="1" applyBorder="1"/>
    <xf numFmtId="4" fontId="0" fillId="0" borderId="5" xfId="0" applyNumberFormat="1" applyBorder="1" applyAlignment="1">
      <alignment vertical="center"/>
    </xf>
    <xf numFmtId="4" fontId="0" fillId="6" borderId="9" xfId="0" applyNumberFormat="1" applyFill="1" applyBorder="1" applyAlignment="1">
      <alignment vertical="center"/>
    </xf>
    <xf numFmtId="0" fontId="0" fillId="2" borderId="8" xfId="0" applyFill="1" applyBorder="1"/>
    <xf numFmtId="9" fontId="0" fillId="7" borderId="7" xfId="3" applyFont="1" applyFill="1" applyBorder="1" applyAlignment="1">
      <alignment vertical="center"/>
    </xf>
    <xf numFmtId="0" fontId="2" fillId="6" borderId="7" xfId="0" applyFont="1" applyFill="1" applyBorder="1" applyAlignment="1">
      <alignment vertical="center" textRotation="255"/>
    </xf>
    <xf numFmtId="0" fontId="2" fillId="6" borderId="9" xfId="0" applyFont="1" applyFill="1" applyBorder="1" applyAlignment="1">
      <alignment vertical="center" textRotation="255"/>
    </xf>
    <xf numFmtId="3" fontId="0" fillId="6" borderId="8" xfId="0" applyNumberFormat="1" applyFill="1" applyBorder="1"/>
    <xf numFmtId="0" fontId="18" fillId="2" borderId="7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 wrapText="1"/>
    </xf>
    <xf numFmtId="0" fontId="18" fillId="3" borderId="7" xfId="0" applyFont="1" applyFill="1" applyBorder="1" applyAlignment="1">
      <alignment vertical="center" wrapText="1"/>
    </xf>
    <xf numFmtId="0" fontId="18" fillId="6" borderId="7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vertical="center" wrapText="1"/>
    </xf>
    <xf numFmtId="0" fontId="18" fillId="6" borderId="10" xfId="0" applyFont="1" applyFill="1" applyBorder="1" applyAlignment="1">
      <alignment vertical="center" wrapText="1"/>
    </xf>
    <xf numFmtId="0" fontId="18" fillId="2" borderId="10" xfId="0" applyFont="1" applyFill="1" applyBorder="1" applyAlignment="1">
      <alignment vertical="center" wrapText="1"/>
    </xf>
    <xf numFmtId="0" fontId="18" fillId="3" borderId="1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7" borderId="0" xfId="0" applyFont="1" applyFill="1" applyBorder="1" applyAlignment="1">
      <alignment vertical="center" wrapText="1"/>
    </xf>
    <xf numFmtId="0" fontId="18" fillId="4" borderId="6" xfId="0" applyFont="1" applyFill="1" applyBorder="1" applyAlignment="1">
      <alignment vertical="center" wrapText="1"/>
    </xf>
    <xf numFmtId="0" fontId="18" fillId="4" borderId="11" xfId="0" applyFont="1" applyFill="1" applyBorder="1" applyAlignment="1">
      <alignment vertical="center"/>
    </xf>
    <xf numFmtId="0" fontId="18" fillId="6" borderId="0" xfId="0" applyFont="1" applyFill="1" applyAlignment="1">
      <alignment vertical="center" wrapText="1"/>
    </xf>
    <xf numFmtId="168" fontId="18" fillId="0" borderId="7" xfId="0" applyNumberFormat="1" applyFont="1" applyFill="1" applyBorder="1" applyAlignment="1">
      <alignment vertical="center" wrapText="1"/>
    </xf>
    <xf numFmtId="168" fontId="18" fillId="6" borderId="7" xfId="0" applyNumberFormat="1" applyFont="1" applyFill="1" applyBorder="1" applyAlignment="1">
      <alignment vertical="center" wrapText="1"/>
    </xf>
    <xf numFmtId="168" fontId="18" fillId="0" borderId="9" xfId="0" applyNumberFormat="1" applyFont="1" applyFill="1" applyBorder="1" applyAlignment="1">
      <alignment vertical="center" wrapText="1"/>
    </xf>
    <xf numFmtId="9" fontId="8" fillId="5" borderId="8" xfId="3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7" borderId="10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2" fillId="7" borderId="11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6" xfId="0" applyFont="1" applyFill="1" applyBorder="1" applyAlignment="1">
      <alignment vertical="center"/>
    </xf>
    <xf numFmtId="0" fontId="18" fillId="7" borderId="10" xfId="0" applyFont="1" applyFill="1" applyBorder="1" applyAlignment="1">
      <alignment vertical="center"/>
    </xf>
    <xf numFmtId="2" fontId="0" fillId="0" borderId="7" xfId="0" applyNumberFormat="1" applyBorder="1" applyAlignment="1">
      <alignment vertical="center"/>
    </xf>
    <xf numFmtId="165" fontId="0" fillId="0" borderId="7" xfId="2" applyNumberFormat="1" applyFont="1" applyBorder="1" applyAlignment="1">
      <alignment vertical="center"/>
    </xf>
    <xf numFmtId="165" fontId="0" fillId="0" borderId="7" xfId="0" applyNumberFormat="1" applyBorder="1" applyAlignment="1">
      <alignment vertical="center"/>
    </xf>
    <xf numFmtId="0" fontId="10" fillId="7" borderId="11" xfId="0" applyFont="1" applyFill="1" applyBorder="1" applyAlignment="1">
      <alignment vertical="center" wrapText="1"/>
    </xf>
    <xf numFmtId="0" fontId="0" fillId="7" borderId="7" xfId="3" applyNumberFormat="1" applyFont="1" applyFill="1" applyBorder="1" applyAlignment="1">
      <alignment vertical="center"/>
    </xf>
    <xf numFmtId="0" fontId="0" fillId="7" borderId="8" xfId="3" applyNumberFormat="1" applyFont="1" applyFill="1" applyBorder="1" applyAlignment="1">
      <alignment vertical="center"/>
    </xf>
    <xf numFmtId="0" fontId="10" fillId="8" borderId="17" xfId="0" applyFont="1" applyFill="1" applyBorder="1" applyAlignment="1">
      <alignment vertical="center" wrapText="1"/>
    </xf>
    <xf numFmtId="0" fontId="10" fillId="8" borderId="7" xfId="0" applyFont="1" applyFill="1" applyBorder="1" applyAlignment="1">
      <alignment vertical="center" wrapText="1"/>
    </xf>
    <xf numFmtId="167" fontId="2" fillId="8" borderId="7" xfId="1" applyNumberFormat="1" applyFont="1" applyFill="1" applyBorder="1" applyAlignment="1">
      <alignment vertical="center"/>
    </xf>
    <xf numFmtId="167" fontId="2" fillId="8" borderId="17" xfId="1" applyNumberFormat="1" applyFont="1" applyFill="1" applyBorder="1" applyAlignment="1">
      <alignment vertical="center"/>
    </xf>
    <xf numFmtId="167" fontId="2" fillId="8" borderId="18" xfId="1" applyNumberFormat="1" applyFont="1" applyFill="1" applyBorder="1" applyAlignment="1">
      <alignment vertical="center"/>
    </xf>
    <xf numFmtId="167" fontId="18" fillId="9" borderId="15" xfId="1" applyNumberFormat="1" applyFont="1" applyFill="1" applyBorder="1" applyAlignment="1">
      <alignment vertical="center" wrapText="1"/>
    </xf>
    <xf numFmtId="3" fontId="0" fillId="0" borderId="23" xfId="0" applyNumberFormat="1" applyBorder="1" applyAlignment="1">
      <alignment vertical="center"/>
    </xf>
    <xf numFmtId="3" fontId="0" fillId="6" borderId="25" xfId="0" applyNumberFormat="1" applyFill="1" applyBorder="1" applyAlignment="1">
      <alignment vertical="center"/>
    </xf>
    <xf numFmtId="0" fontId="0" fillId="10" borderId="26" xfId="0" applyFill="1" applyBorder="1" applyAlignment="1">
      <alignment vertical="center"/>
    </xf>
    <xf numFmtId="9" fontId="0" fillId="0" borderId="25" xfId="3" applyFont="1" applyBorder="1" applyAlignment="1">
      <alignment vertical="center"/>
    </xf>
    <xf numFmtId="9" fontId="0" fillId="6" borderId="25" xfId="3" applyFont="1" applyFill="1" applyBorder="1" applyAlignment="1">
      <alignment vertical="center"/>
    </xf>
    <xf numFmtId="3" fontId="0" fillId="0" borderId="25" xfId="0" applyNumberFormat="1" applyBorder="1" applyAlignment="1">
      <alignment vertical="center"/>
    </xf>
    <xf numFmtId="3" fontId="0" fillId="7" borderId="28" xfId="0" applyNumberFormat="1" applyFill="1" applyBorder="1" applyAlignment="1">
      <alignment vertical="center"/>
    </xf>
    <xf numFmtId="3" fontId="0" fillId="2" borderId="25" xfId="0" applyNumberFormat="1" applyFill="1" applyBorder="1" applyAlignment="1">
      <alignment vertical="center"/>
    </xf>
    <xf numFmtId="9" fontId="0" fillId="2" borderId="25" xfId="3" applyFont="1" applyFill="1" applyBorder="1" applyAlignment="1">
      <alignment vertical="center"/>
    </xf>
    <xf numFmtId="3" fontId="0" fillId="2" borderId="29" xfId="0" applyNumberFormat="1" applyFill="1" applyBorder="1" applyAlignment="1">
      <alignment vertical="center"/>
    </xf>
    <xf numFmtId="3" fontId="0" fillId="3" borderId="25" xfId="0" applyNumberFormat="1" applyFill="1" applyBorder="1" applyAlignment="1">
      <alignment vertical="center"/>
    </xf>
    <xf numFmtId="9" fontId="0" fillId="3" borderId="25" xfId="3" applyFont="1" applyFill="1" applyBorder="1" applyAlignment="1">
      <alignment vertical="center"/>
    </xf>
    <xf numFmtId="3" fontId="0" fillId="4" borderId="25" xfId="0" applyNumberFormat="1" applyFill="1" applyBorder="1" applyAlignment="1">
      <alignment vertical="center"/>
    </xf>
    <xf numFmtId="9" fontId="0" fillId="4" borderId="25" xfId="3" applyFont="1" applyFill="1" applyBorder="1" applyAlignment="1">
      <alignment vertical="center"/>
    </xf>
    <xf numFmtId="3" fontId="0" fillId="4" borderId="29" xfId="0" applyNumberFormat="1" applyFill="1" applyBorder="1" applyAlignment="1">
      <alignment vertical="center"/>
    </xf>
    <xf numFmtId="3" fontId="0" fillId="6" borderId="29" xfId="0" applyNumberFormat="1" applyFill="1" applyBorder="1" applyAlignment="1">
      <alignment vertical="center"/>
    </xf>
    <xf numFmtId="3" fontId="0" fillId="3" borderId="29" xfId="0" applyNumberFormat="1" applyFill="1" applyBorder="1" applyAlignment="1">
      <alignment vertical="center"/>
    </xf>
    <xf numFmtId="0" fontId="0" fillId="10" borderId="30" xfId="0" applyFill="1" applyBorder="1" applyAlignment="1">
      <alignment vertical="center"/>
    </xf>
    <xf numFmtId="0" fontId="2" fillId="5" borderId="32" xfId="0" applyFont="1" applyFill="1" applyBorder="1" applyAlignment="1">
      <alignment vertical="center" wrapText="1"/>
    </xf>
    <xf numFmtId="9" fontId="2" fillId="5" borderId="32" xfId="3" applyFont="1" applyFill="1" applyBorder="1" applyAlignment="1">
      <alignment vertical="center"/>
    </xf>
    <xf numFmtId="170" fontId="0" fillId="7" borderId="9" xfId="0" applyNumberFormat="1" applyFill="1" applyBorder="1" applyAlignment="1">
      <alignment vertical="center"/>
    </xf>
    <xf numFmtId="0" fontId="2" fillId="6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10" fillId="8" borderId="19" xfId="0" applyFont="1" applyFill="1" applyBorder="1" applyAlignment="1">
      <alignment vertical="center" wrapText="1"/>
    </xf>
    <xf numFmtId="0" fontId="0" fillId="0" borderId="2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171" fontId="8" fillId="2" borderId="5" xfId="1" applyNumberFormat="1" applyFont="1" applyFill="1" applyBorder="1"/>
    <xf numFmtId="171" fontId="8" fillId="2" borderId="13" xfId="1" applyNumberFormat="1" applyFont="1" applyFill="1" applyBorder="1"/>
    <xf numFmtId="171" fontId="8" fillId="5" borderId="7" xfId="1" applyNumberFormat="1" applyFont="1" applyFill="1" applyBorder="1"/>
    <xf numFmtId="171" fontId="8" fillId="5" borderId="0" xfId="1" applyNumberFormat="1" applyFont="1" applyFill="1"/>
    <xf numFmtId="171" fontId="8" fillId="2" borderId="7" xfId="1" applyNumberFormat="1" applyFont="1" applyFill="1" applyBorder="1"/>
    <xf numFmtId="171" fontId="8" fillId="2" borderId="0" xfId="1" applyNumberFormat="1" applyFont="1" applyFill="1"/>
    <xf numFmtId="171" fontId="13" fillId="2" borderId="7" xfId="1" applyNumberFormat="1" applyFont="1" applyFill="1" applyBorder="1"/>
    <xf numFmtId="0" fontId="2" fillId="11" borderId="6" xfId="0" applyFont="1" applyFill="1" applyBorder="1"/>
    <xf numFmtId="171" fontId="8" fillId="5" borderId="5" xfId="1" applyNumberFormat="1" applyFont="1" applyFill="1" applyBorder="1"/>
    <xf numFmtId="171" fontId="8" fillId="5" borderId="10" xfId="1" applyNumberFormat="1" applyFont="1" applyFill="1" applyBorder="1"/>
    <xf numFmtId="171" fontId="8" fillId="2" borderId="10" xfId="1" applyNumberFormat="1" applyFont="1" applyFill="1" applyBorder="1"/>
    <xf numFmtId="171" fontId="8" fillId="11" borderId="9" xfId="1" applyNumberFormat="1" applyFont="1" applyFill="1" applyBorder="1"/>
    <xf numFmtId="171" fontId="8" fillId="11" borderId="11" xfId="1" applyNumberFormat="1" applyFont="1" applyFill="1" applyBorder="1"/>
    <xf numFmtId="171" fontId="19" fillId="11" borderId="9" xfId="1" applyNumberFormat="1" applyFont="1" applyFill="1" applyBorder="1"/>
    <xf numFmtId="171" fontId="19" fillId="11" borderId="11" xfId="1" applyNumberFormat="1" applyFont="1" applyFill="1" applyBorder="1"/>
    <xf numFmtId="0" fontId="18" fillId="2" borderId="13" xfId="0" applyFont="1" applyFill="1" applyBorder="1"/>
    <xf numFmtId="0" fontId="18" fillId="11" borderId="0" xfId="0" applyFont="1" applyFill="1"/>
    <xf numFmtId="0" fontId="18" fillId="2" borderId="0" xfId="0" applyFont="1" applyFill="1"/>
    <xf numFmtId="0" fontId="18" fillId="5" borderId="10" xfId="0" applyFont="1" applyFill="1" applyBorder="1" applyAlignment="1">
      <alignment vertical="center" wrapText="1"/>
    </xf>
    <xf numFmtId="0" fontId="18" fillId="11" borderId="11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 wrapText="1"/>
    </xf>
    <xf numFmtId="0" fontId="0" fillId="3" borderId="11" xfId="0" applyFont="1" applyFill="1" applyBorder="1" applyAlignment="1">
      <alignment vertical="center" wrapText="1"/>
    </xf>
    <xf numFmtId="9" fontId="0" fillId="3" borderId="12" xfId="3" applyFont="1" applyFill="1" applyBorder="1" applyAlignment="1">
      <alignment vertical="center"/>
    </xf>
    <xf numFmtId="0" fontId="18" fillId="3" borderId="11" xfId="0" applyFont="1" applyFill="1" applyBorder="1" applyAlignment="1">
      <alignment vertical="center" wrapText="1"/>
    </xf>
    <xf numFmtId="0" fontId="23" fillId="6" borderId="0" xfId="4" applyFont="1" applyFill="1"/>
    <xf numFmtId="0" fontId="8" fillId="0" borderId="0" xfId="0" applyFont="1"/>
    <xf numFmtId="1" fontId="27" fillId="0" borderId="0" xfId="4" applyNumberFormat="1" applyFont="1" applyAlignment="1">
      <alignment horizontal="center"/>
    </xf>
    <xf numFmtId="1" fontId="28" fillId="0" borderId="0" xfId="4" applyNumberFormat="1" applyFont="1" applyAlignment="1">
      <alignment horizontal="center"/>
    </xf>
    <xf numFmtId="0" fontId="23" fillId="0" borderId="0" xfId="4" applyFont="1"/>
    <xf numFmtId="0" fontId="29" fillId="13" borderId="33" xfId="4" applyFont="1" applyFill="1" applyBorder="1" applyAlignment="1">
      <alignment horizontal="center" vertical="center"/>
    </xf>
    <xf numFmtId="1" fontId="29" fillId="13" borderId="33" xfId="4" applyNumberFormat="1" applyFont="1" applyFill="1" applyBorder="1" applyAlignment="1">
      <alignment horizontal="center" vertical="center" wrapText="1"/>
    </xf>
    <xf numFmtId="1" fontId="30" fillId="13" borderId="33" xfId="4" applyNumberFormat="1" applyFont="1" applyFill="1" applyBorder="1" applyAlignment="1">
      <alignment horizontal="center" vertical="center" wrapText="1"/>
    </xf>
    <xf numFmtId="0" fontId="25" fillId="10" borderId="0" xfId="4" applyFont="1" applyFill="1" applyAlignment="1">
      <alignment horizontal="center" vertical="center"/>
    </xf>
    <xf numFmtId="1" fontId="29" fillId="0" borderId="0" xfId="4" applyNumberFormat="1" applyFont="1" applyAlignment="1">
      <alignment horizontal="center" vertical="center" wrapText="1"/>
    </xf>
    <xf numFmtId="1" fontId="30" fillId="0" borderId="0" xfId="4" applyNumberFormat="1" applyFont="1" applyAlignment="1">
      <alignment horizontal="center" vertical="center" wrapText="1"/>
    </xf>
    <xf numFmtId="0" fontId="25" fillId="14" borderId="34" xfId="0" applyFont="1" applyFill="1" applyBorder="1" applyAlignment="1">
      <alignment horizontal="left" vertical="center"/>
    </xf>
    <xf numFmtId="43" fontId="31" fillId="14" borderId="35" xfId="5" applyFont="1" applyFill="1" applyBorder="1" applyAlignment="1" applyProtection="1">
      <alignment horizontal="right" vertical="center"/>
    </xf>
    <xf numFmtId="9" fontId="31" fillId="14" borderId="36" xfId="3" applyFont="1" applyFill="1" applyBorder="1" applyAlignment="1" applyProtection="1">
      <alignment horizontal="right" vertical="center"/>
    </xf>
    <xf numFmtId="0" fontId="32" fillId="15" borderId="37" xfId="0" applyFont="1" applyFill="1" applyBorder="1" applyAlignment="1">
      <alignment horizontal="left" vertical="center" indent="2"/>
    </xf>
    <xf numFmtId="43" fontId="33" fillId="15" borderId="38" xfId="5" applyFont="1" applyFill="1" applyBorder="1" applyAlignment="1" applyProtection="1">
      <alignment horizontal="right" vertical="center"/>
    </xf>
    <xf numFmtId="9" fontId="33" fillId="15" borderId="39" xfId="3" applyFont="1" applyFill="1" applyBorder="1" applyAlignment="1" applyProtection="1">
      <alignment horizontal="right" vertical="center"/>
    </xf>
    <xf numFmtId="0" fontId="32" fillId="15" borderId="37" xfId="0" applyFont="1" applyFill="1" applyBorder="1" applyAlignment="1">
      <alignment horizontal="left" vertical="center" indent="4"/>
    </xf>
    <xf numFmtId="43" fontId="33" fillId="0" borderId="38" xfId="5" applyFont="1" applyFill="1" applyBorder="1" applyAlignment="1" applyProtection="1">
      <alignment horizontal="right" vertical="center"/>
    </xf>
    <xf numFmtId="43" fontId="33" fillId="7" borderId="38" xfId="5" applyFont="1" applyFill="1" applyBorder="1" applyAlignment="1" applyProtection="1">
      <alignment horizontal="right" vertical="center"/>
    </xf>
    <xf numFmtId="9" fontId="33" fillId="0" borderId="39" xfId="3" applyFont="1" applyFill="1" applyBorder="1" applyAlignment="1" applyProtection="1">
      <alignment horizontal="right" vertical="center"/>
    </xf>
    <xf numFmtId="172" fontId="33" fillId="0" borderId="38" xfId="5" applyNumberFormat="1" applyFont="1" applyFill="1" applyBorder="1" applyAlignment="1" applyProtection="1">
      <alignment horizontal="right" vertical="center"/>
    </xf>
    <xf numFmtId="172" fontId="33" fillId="7" borderId="38" xfId="5" applyNumberFormat="1" applyFont="1" applyFill="1" applyBorder="1" applyAlignment="1" applyProtection="1">
      <alignment horizontal="right" vertical="center"/>
    </xf>
    <xf numFmtId="0" fontId="33" fillId="0" borderId="37" xfId="0" applyFont="1" applyBorder="1" applyAlignment="1">
      <alignment horizontal="left" vertical="center" indent="2"/>
    </xf>
    <xf numFmtId="9" fontId="31" fillId="0" borderId="40" xfId="3" applyFont="1" applyFill="1" applyBorder="1" applyAlignment="1" applyProtection="1">
      <alignment horizontal="right" vertical="center"/>
    </xf>
    <xf numFmtId="167" fontId="34" fillId="0" borderId="39" xfId="5" applyNumberFormat="1" applyFont="1" applyFill="1" applyBorder="1" applyAlignment="1" applyProtection="1">
      <alignment horizontal="right" vertical="center"/>
    </xf>
    <xf numFmtId="0" fontId="25" fillId="14" borderId="37" xfId="0" applyFont="1" applyFill="1" applyBorder="1" applyAlignment="1">
      <alignment horizontal="left" vertical="center"/>
    </xf>
    <xf numFmtId="43" fontId="31" fillId="14" borderId="38" xfId="5" applyFont="1" applyFill="1" applyBorder="1" applyAlignment="1" applyProtection="1">
      <alignment horizontal="right" vertical="center"/>
    </xf>
    <xf numFmtId="9" fontId="33" fillId="14" borderId="39" xfId="3" applyFont="1" applyFill="1" applyBorder="1" applyAlignment="1" applyProtection="1">
      <alignment horizontal="right" vertical="center"/>
    </xf>
    <xf numFmtId="43" fontId="31" fillId="15" borderId="38" xfId="5" applyFont="1" applyFill="1" applyBorder="1" applyAlignment="1" applyProtection="1">
      <alignment horizontal="right" vertical="center"/>
    </xf>
    <xf numFmtId="0" fontId="33" fillId="15" borderId="37" xfId="0" applyFont="1" applyFill="1" applyBorder="1" applyAlignment="1">
      <alignment horizontal="left" vertical="center" indent="4"/>
    </xf>
    <xf numFmtId="9" fontId="31" fillId="0" borderId="39" xfId="3" applyFont="1" applyFill="1" applyBorder="1" applyAlignment="1" applyProtection="1">
      <alignment horizontal="right" vertical="center"/>
    </xf>
    <xf numFmtId="0" fontId="35" fillId="15" borderId="37" xfId="0" applyFont="1" applyFill="1" applyBorder="1" applyAlignment="1">
      <alignment horizontal="right" vertical="center"/>
    </xf>
    <xf numFmtId="0" fontId="33" fillId="15" borderId="37" xfId="0" applyFont="1" applyFill="1" applyBorder="1" applyAlignment="1">
      <alignment horizontal="left" vertical="center" indent="2"/>
    </xf>
    <xf numFmtId="0" fontId="35" fillId="0" borderId="37" xfId="0" applyFont="1" applyBorder="1" applyAlignment="1">
      <alignment horizontal="right" vertical="center"/>
    </xf>
    <xf numFmtId="43" fontId="31" fillId="0" borderId="38" xfId="5" applyFont="1" applyFill="1" applyBorder="1" applyAlignment="1" applyProtection="1">
      <alignment horizontal="right" vertical="center"/>
    </xf>
    <xf numFmtId="0" fontId="31" fillId="10" borderId="37" xfId="0" applyFont="1" applyFill="1" applyBorder="1" applyAlignment="1">
      <alignment horizontal="center" vertical="center"/>
    </xf>
    <xf numFmtId="0" fontId="23" fillId="0" borderId="41" xfId="4" applyFont="1" applyBorder="1"/>
    <xf numFmtId="43" fontId="33" fillId="0" borderId="42" xfId="5" applyFont="1" applyFill="1" applyBorder="1" applyAlignment="1" applyProtection="1">
      <alignment horizontal="right" vertical="center"/>
    </xf>
    <xf numFmtId="0" fontId="25" fillId="10" borderId="34" xfId="0" applyFont="1" applyFill="1" applyBorder="1" applyAlignment="1">
      <alignment horizontal="left" vertical="center"/>
    </xf>
    <xf numFmtId="43" fontId="31" fillId="16" borderId="35" xfId="5" applyFont="1" applyFill="1" applyBorder="1" applyAlignment="1" applyProtection="1">
      <alignment horizontal="right" vertical="center"/>
    </xf>
    <xf numFmtId="43" fontId="33" fillId="0" borderId="38" xfId="5" applyFont="1" applyFill="1" applyBorder="1" applyAlignment="1" applyProtection="1">
      <alignment horizontal="right" vertical="center"/>
      <protection locked="0"/>
    </xf>
    <xf numFmtId="43" fontId="33" fillId="7" borderId="38" xfId="5" applyFont="1" applyFill="1" applyBorder="1" applyAlignment="1" applyProtection="1">
      <alignment horizontal="right" vertical="center"/>
      <protection locked="0"/>
    </xf>
    <xf numFmtId="0" fontId="25" fillId="16" borderId="34" xfId="0" applyFont="1" applyFill="1" applyBorder="1" applyAlignment="1">
      <alignment horizontal="left" vertical="center"/>
    </xf>
    <xf numFmtId="0" fontId="33" fillId="7" borderId="41" xfId="0" applyFont="1" applyFill="1" applyBorder="1" applyAlignment="1">
      <alignment horizontal="left" vertical="center" indent="2"/>
    </xf>
    <xf numFmtId="0" fontId="33" fillId="0" borderId="37" xfId="0" applyFont="1" applyBorder="1" applyAlignment="1">
      <alignment horizontal="left" vertical="center"/>
    </xf>
    <xf numFmtId="9" fontId="33" fillId="0" borderId="38" xfId="3" applyFont="1" applyFill="1" applyBorder="1" applyAlignment="1" applyProtection="1">
      <alignment horizontal="right" vertical="center"/>
      <protection locked="0"/>
    </xf>
    <xf numFmtId="9" fontId="33" fillId="0" borderId="38" xfId="5" applyNumberFormat="1" applyFont="1" applyFill="1" applyBorder="1" applyAlignment="1" applyProtection="1">
      <alignment horizontal="right" vertical="center"/>
    </xf>
    <xf numFmtId="167" fontId="31" fillId="16" borderId="35" xfId="5" applyNumberFormat="1" applyFont="1" applyFill="1" applyBorder="1" applyAlignment="1" applyProtection="1">
      <alignment horizontal="right" vertical="center"/>
    </xf>
    <xf numFmtId="167" fontId="33" fillId="0" borderId="38" xfId="5" applyNumberFormat="1" applyFont="1" applyFill="1" applyBorder="1" applyAlignment="1" applyProtection="1">
      <alignment horizontal="right" vertical="center"/>
      <protection locked="0"/>
    </xf>
    <xf numFmtId="167" fontId="33" fillId="0" borderId="38" xfId="5" applyNumberFormat="1" applyFont="1" applyFill="1" applyBorder="1" applyAlignment="1" applyProtection="1">
      <alignment horizontal="right" vertical="center"/>
    </xf>
    <xf numFmtId="0" fontId="37" fillId="0" borderId="37" xfId="6" applyFont="1" applyBorder="1"/>
    <xf numFmtId="3" fontId="37" fillId="0" borderId="0" xfId="6" applyNumberFormat="1" applyFont="1"/>
    <xf numFmtId="0" fontId="25" fillId="15" borderId="37" xfId="0" applyFont="1" applyFill="1" applyBorder="1" applyAlignment="1">
      <alignment horizontal="left" vertical="center"/>
    </xf>
    <xf numFmtId="43" fontId="33" fillId="0" borderId="38" xfId="5" applyFont="1" applyFill="1" applyBorder="1" applyAlignment="1" applyProtection="1">
      <alignment horizontal="left" vertical="center"/>
      <protection locked="0"/>
    </xf>
    <xf numFmtId="171" fontId="37" fillId="0" borderId="37" xfId="5" applyNumberFormat="1" applyFont="1" applyBorder="1" applyAlignment="1" applyProtection="1">
      <alignment horizontal="left" indent="1"/>
    </xf>
    <xf numFmtId="171" fontId="38" fillId="0" borderId="38" xfId="5" applyNumberFormat="1" applyFont="1" applyFill="1" applyBorder="1" applyProtection="1"/>
    <xf numFmtId="171" fontId="38" fillId="0" borderId="37" xfId="5" applyNumberFormat="1" applyFont="1" applyFill="1" applyBorder="1" applyAlignment="1" applyProtection="1">
      <alignment horizontal="left" indent="1"/>
    </xf>
    <xf numFmtId="171" fontId="38" fillId="0" borderId="38" xfId="5" applyNumberFormat="1" applyFont="1" applyFill="1" applyBorder="1" applyProtection="1">
      <protection locked="0"/>
    </xf>
    <xf numFmtId="0" fontId="25" fillId="10" borderId="37" xfId="0" applyFont="1" applyFill="1" applyBorder="1" applyAlignment="1">
      <alignment horizontal="left" vertical="center"/>
    </xf>
    <xf numFmtId="43" fontId="31" fillId="15" borderId="38" xfId="5" applyFont="1" applyFill="1" applyBorder="1" applyAlignment="1" applyProtection="1">
      <alignment horizontal="right" vertical="center"/>
      <protection locked="0"/>
    </xf>
    <xf numFmtId="0" fontId="32" fillId="0" borderId="37" xfId="0" applyFont="1" applyBorder="1" applyAlignment="1">
      <alignment horizontal="left" vertical="center" indent="3"/>
    </xf>
    <xf numFmtId="43" fontId="31" fillId="7" borderId="38" xfId="5" applyFont="1" applyFill="1" applyBorder="1" applyAlignment="1" applyProtection="1">
      <alignment horizontal="right" vertical="center"/>
      <protection locked="0"/>
    </xf>
    <xf numFmtId="171" fontId="38" fillId="0" borderId="37" xfId="5" applyNumberFormat="1" applyFont="1" applyBorder="1" applyAlignment="1" applyProtection="1">
      <alignment horizontal="left" indent="1"/>
    </xf>
    <xf numFmtId="173" fontId="38" fillId="0" borderId="38" xfId="7" applyNumberFormat="1" applyFont="1" applyFill="1" applyBorder="1" applyProtection="1"/>
    <xf numFmtId="0" fontId="33" fillId="7" borderId="37" xfId="0" applyFont="1" applyFill="1" applyBorder="1" applyAlignment="1">
      <alignment horizontal="left" vertical="center" indent="2"/>
    </xf>
    <xf numFmtId="171" fontId="38" fillId="0" borderId="37" xfId="5" quotePrefix="1" applyNumberFormat="1" applyFont="1" applyBorder="1" applyAlignment="1" applyProtection="1">
      <alignment horizontal="left" indent="3"/>
    </xf>
    <xf numFmtId="3" fontId="38" fillId="0" borderId="38" xfId="5" applyNumberFormat="1" applyFont="1" applyFill="1" applyBorder="1" applyProtection="1">
      <protection locked="0"/>
    </xf>
    <xf numFmtId="167" fontId="31" fillId="14" borderId="38" xfId="5" applyNumberFormat="1" applyFont="1" applyFill="1" applyBorder="1" applyAlignment="1" applyProtection="1">
      <alignment horizontal="right" vertical="center"/>
    </xf>
    <xf numFmtId="0" fontId="31" fillId="15" borderId="37" xfId="0" applyFont="1" applyFill="1" applyBorder="1" applyAlignment="1">
      <alignment horizontal="left" vertical="center" indent="2"/>
    </xf>
    <xf numFmtId="167" fontId="31" fillId="15" borderId="38" xfId="5" applyNumberFormat="1" applyFont="1" applyFill="1" applyBorder="1" applyAlignment="1" applyProtection="1">
      <alignment horizontal="right" vertical="center"/>
    </xf>
    <xf numFmtId="0" fontId="25" fillId="7" borderId="37" xfId="0" applyFont="1" applyFill="1" applyBorder="1" applyAlignment="1">
      <alignment horizontal="left" vertical="center"/>
    </xf>
    <xf numFmtId="167" fontId="33" fillId="7" borderId="38" xfId="5" applyNumberFormat="1" applyFont="1" applyFill="1" applyBorder="1" applyAlignment="1" applyProtection="1">
      <alignment horizontal="right" vertical="center"/>
      <protection locked="0"/>
    </xf>
    <xf numFmtId="167" fontId="31" fillId="15" borderId="38" xfId="5" applyNumberFormat="1" applyFont="1" applyFill="1" applyBorder="1" applyAlignment="1" applyProtection="1">
      <alignment horizontal="right" vertical="center"/>
      <protection locked="0"/>
    </xf>
    <xf numFmtId="0" fontId="25" fillId="0" borderId="37" xfId="0" applyFont="1" applyBorder="1" applyAlignment="1">
      <alignment horizontal="left" vertical="center"/>
    </xf>
    <xf numFmtId="167" fontId="31" fillId="0" borderId="38" xfId="5" applyNumberFormat="1" applyFont="1" applyFill="1" applyBorder="1" applyAlignment="1" applyProtection="1">
      <alignment horizontal="right" vertical="center"/>
      <protection locked="0"/>
    </xf>
    <xf numFmtId="49" fontId="33" fillId="0" borderId="38" xfId="5" applyNumberFormat="1" applyFont="1" applyFill="1" applyBorder="1" applyAlignment="1" applyProtection="1">
      <alignment horizontal="right" vertical="center"/>
      <protection locked="0"/>
    </xf>
    <xf numFmtId="174" fontId="38" fillId="0" borderId="38" xfId="5" applyNumberFormat="1" applyFont="1" applyFill="1" applyBorder="1" applyProtection="1">
      <protection locked="0"/>
    </xf>
    <xf numFmtId="171" fontId="37" fillId="0" borderId="43" xfId="5" quotePrefix="1" applyNumberFormat="1" applyFont="1" applyFill="1" applyBorder="1" applyAlignment="1" applyProtection="1">
      <alignment vertical="center" wrapText="1"/>
    </xf>
    <xf numFmtId="171" fontId="38" fillId="0" borderId="38" xfId="5" applyNumberFormat="1" applyFont="1" applyFill="1" applyBorder="1" applyAlignment="1" applyProtection="1">
      <alignment vertical="center"/>
      <protection locked="0"/>
    </xf>
    <xf numFmtId="175" fontId="33" fillId="0" borderId="38" xfId="5" applyNumberFormat="1" applyFont="1" applyFill="1" applyBorder="1" applyAlignment="1" applyProtection="1">
      <alignment horizontal="right" vertical="center"/>
      <protection locked="0"/>
    </xf>
    <xf numFmtId="176" fontId="33" fillId="0" borderId="38" xfId="5" applyNumberFormat="1" applyFont="1" applyFill="1" applyBorder="1" applyAlignment="1" applyProtection="1">
      <alignment horizontal="right" vertical="center"/>
      <protection locked="0"/>
    </xf>
    <xf numFmtId="3" fontId="38" fillId="7" borderId="38" xfId="5" applyNumberFormat="1" applyFont="1" applyFill="1" applyBorder="1" applyProtection="1">
      <protection locked="0"/>
    </xf>
    <xf numFmtId="167" fontId="33" fillId="7" borderId="44" xfId="5" applyNumberFormat="1" applyFont="1" applyFill="1" applyBorder="1" applyAlignment="1" applyProtection="1">
      <alignment horizontal="right" vertical="center"/>
      <protection locked="0"/>
    </xf>
    <xf numFmtId="167" fontId="33" fillId="0" borderId="45" xfId="5" applyNumberFormat="1" applyFont="1" applyFill="1" applyBorder="1" applyAlignment="1" applyProtection="1">
      <alignment horizontal="right" vertical="center"/>
      <protection locked="0"/>
    </xf>
    <xf numFmtId="0" fontId="33" fillId="15" borderId="37" xfId="0" applyFont="1" applyFill="1" applyBorder="1" applyAlignment="1">
      <alignment horizontal="left" vertical="center"/>
    </xf>
    <xf numFmtId="167" fontId="33" fillId="15" borderId="38" xfId="5" applyNumberFormat="1" applyFont="1" applyFill="1" applyBorder="1" applyAlignment="1" applyProtection="1">
      <alignment horizontal="right" vertical="center"/>
      <protection locked="0"/>
    </xf>
    <xf numFmtId="1" fontId="33" fillId="0" borderId="38" xfId="8" applyNumberFormat="1" applyFont="1" applyFill="1" applyBorder="1" applyAlignment="1" applyProtection="1">
      <alignment horizontal="right" vertical="center"/>
      <protection locked="0"/>
    </xf>
    <xf numFmtId="0" fontId="38" fillId="0" borderId="46" xfId="6" applyFont="1" applyBorder="1"/>
    <xf numFmtId="173" fontId="38" fillId="0" borderId="47" xfId="6" applyNumberFormat="1" applyFont="1" applyBorder="1" applyAlignment="1">
      <alignment horizontal="right"/>
    </xf>
    <xf numFmtId="0" fontId="38" fillId="0" borderId="48" xfId="6" applyFont="1" applyBorder="1"/>
    <xf numFmtId="173" fontId="38" fillId="0" borderId="0" xfId="6" applyNumberFormat="1" applyFont="1"/>
    <xf numFmtId="0" fontId="38" fillId="0" borderId="49" xfId="6" applyFont="1" applyBorder="1" applyAlignment="1">
      <alignment horizontal="left" indent="1"/>
    </xf>
    <xf numFmtId="173" fontId="38" fillId="0" borderId="38" xfId="6" applyNumberFormat="1" applyFont="1" applyBorder="1" applyAlignment="1" applyProtection="1">
      <alignment horizontal="right"/>
      <protection locked="0"/>
    </xf>
    <xf numFmtId="173" fontId="38" fillId="0" borderId="44" xfId="6" applyNumberFormat="1" applyFont="1" applyBorder="1" applyAlignment="1" applyProtection="1">
      <alignment horizontal="right"/>
      <protection locked="0"/>
    </xf>
    <xf numFmtId="167" fontId="31" fillId="0" borderId="38" xfId="5" applyNumberFormat="1" applyFont="1" applyFill="1" applyBorder="1" applyAlignment="1" applyProtection="1">
      <alignment horizontal="right" vertical="center"/>
    </xf>
    <xf numFmtId="167" fontId="31" fillId="0" borderId="50" xfId="5" applyNumberFormat="1" applyFont="1" applyFill="1" applyBorder="1" applyAlignment="1" applyProtection="1">
      <alignment horizontal="right" vertical="center"/>
    </xf>
    <xf numFmtId="167" fontId="31" fillId="0" borderId="47" xfId="5" applyNumberFormat="1" applyFont="1" applyFill="1" applyBorder="1" applyAlignment="1" applyProtection="1">
      <alignment horizontal="right" vertical="center"/>
    </xf>
    <xf numFmtId="167" fontId="33" fillId="0" borderId="44" xfId="5" applyNumberFormat="1" applyFont="1" applyFill="1" applyBorder="1" applyAlignment="1" applyProtection="1">
      <alignment horizontal="right" vertical="center"/>
      <protection locked="0"/>
    </xf>
    <xf numFmtId="167" fontId="33" fillId="0" borderId="52" xfId="5" applyNumberFormat="1" applyFont="1" applyFill="1" applyBorder="1" applyAlignment="1" applyProtection="1">
      <alignment horizontal="right" vertical="center"/>
      <protection locked="0"/>
    </xf>
    <xf numFmtId="167" fontId="33" fillId="7" borderId="53" xfId="5" applyNumberFormat="1" applyFont="1" applyFill="1" applyBorder="1" applyAlignment="1" applyProtection="1">
      <alignment horizontal="right" vertical="center"/>
      <protection locked="0"/>
    </xf>
    <xf numFmtId="167" fontId="33" fillId="0" borderId="54" xfId="5" applyNumberFormat="1" applyFont="1" applyFill="1" applyBorder="1" applyAlignment="1" applyProtection="1">
      <alignment horizontal="right" vertical="center"/>
      <protection locked="0"/>
    </xf>
    <xf numFmtId="0" fontId="38" fillId="0" borderId="0" xfId="6" applyFont="1"/>
    <xf numFmtId="49" fontId="39" fillId="0" borderId="0" xfId="6" applyNumberFormat="1" applyFont="1"/>
    <xf numFmtId="167" fontId="31" fillId="7" borderId="38" xfId="5" applyNumberFormat="1" applyFont="1" applyFill="1" applyBorder="1" applyAlignment="1" applyProtection="1">
      <alignment horizontal="right" vertical="center"/>
      <protection locked="0"/>
    </xf>
    <xf numFmtId="0" fontId="18" fillId="9" borderId="1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43" fontId="0" fillId="4" borderId="5" xfId="0" applyNumberFormat="1" applyFont="1" applyFill="1" applyBorder="1" applyAlignment="1">
      <alignment vertical="center"/>
    </xf>
    <xf numFmtId="4" fontId="0" fillId="4" borderId="7" xfId="0" applyNumberFormat="1" applyFill="1" applyBorder="1" applyAlignment="1">
      <alignment vertical="center"/>
    </xf>
    <xf numFmtId="171" fontId="0" fillId="3" borderId="7" xfId="1" applyNumberFormat="1" applyFont="1" applyFill="1" applyBorder="1" applyAlignment="1">
      <alignment vertical="center"/>
    </xf>
    <xf numFmtId="171" fontId="0" fillId="7" borderId="7" xfId="1" applyNumberFormat="1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1" fillId="17" borderId="0" xfId="0" applyFont="1" applyFill="1" applyAlignment="1">
      <alignment vertical="center"/>
    </xf>
    <xf numFmtId="0" fontId="20" fillId="17" borderId="0" xfId="0" applyFont="1" applyFill="1" applyAlignment="1">
      <alignment vertical="center"/>
    </xf>
    <xf numFmtId="3" fontId="41" fillId="0" borderId="0" xfId="0" applyNumberFormat="1" applyFont="1" applyAlignment="1">
      <alignment vertical="center"/>
    </xf>
    <xf numFmtId="0" fontId="41" fillId="0" borderId="0" xfId="0" applyFont="1" applyBorder="1" applyAlignment="1">
      <alignment vertical="center"/>
    </xf>
    <xf numFmtId="167" fontId="41" fillId="17" borderId="0" xfId="1" applyNumberFormat="1" applyFont="1" applyFill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 wrapText="1"/>
    </xf>
    <xf numFmtId="0" fontId="10" fillId="6" borderId="7" xfId="0" applyFont="1" applyFill="1" applyBorder="1" applyAlignment="1">
      <alignment vertical="center" wrapText="1"/>
    </xf>
    <xf numFmtId="0" fontId="10" fillId="6" borderId="13" xfId="0" applyFont="1" applyFill="1" applyBorder="1" applyAlignment="1">
      <alignment vertical="center"/>
    </xf>
    <xf numFmtId="0" fontId="42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10" fillId="7" borderId="0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167" fontId="10" fillId="4" borderId="10" xfId="1" applyNumberFormat="1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8" fillId="0" borderId="10" xfId="0" quotePrefix="1" applyFont="1" applyFill="1" applyBorder="1" applyAlignment="1">
      <alignment vertical="center" wrapText="1"/>
    </xf>
    <xf numFmtId="168" fontId="10" fillId="2" borderId="5" xfId="0" applyNumberFormat="1" applyFont="1" applyFill="1" applyBorder="1" applyAlignment="1">
      <alignment vertical="center" wrapText="1"/>
    </xf>
    <xf numFmtId="0" fontId="43" fillId="0" borderId="37" xfId="0" applyFont="1" applyBorder="1" applyAlignment="1">
      <alignment horizontal="left" vertical="center" indent="6"/>
    </xf>
    <xf numFmtId="0" fontId="43" fillId="0" borderId="37" xfId="0" applyFont="1" applyBorder="1" applyAlignment="1">
      <alignment horizontal="left" vertical="center" indent="4"/>
    </xf>
    <xf numFmtId="0" fontId="43" fillId="0" borderId="37" xfId="0" applyFont="1" applyBorder="1" applyAlignment="1">
      <alignment horizontal="left" vertical="center" indent="2"/>
    </xf>
    <xf numFmtId="0" fontId="44" fillId="0" borderId="37" xfId="0" applyFont="1" applyBorder="1" applyAlignment="1">
      <alignment horizontal="left" vertical="center" indent="4"/>
    </xf>
    <xf numFmtId="0" fontId="43" fillId="0" borderId="37" xfId="0" applyFont="1" applyBorder="1" applyAlignment="1">
      <alignment horizontal="left" vertical="center"/>
    </xf>
    <xf numFmtId="0" fontId="43" fillId="7" borderId="41" xfId="0" applyFont="1" applyFill="1" applyBorder="1" applyAlignment="1">
      <alignment horizontal="left" vertical="center" indent="2"/>
    </xf>
    <xf numFmtId="0" fontId="45" fillId="0" borderId="37" xfId="0" applyFont="1" applyBorder="1" applyAlignment="1">
      <alignment horizontal="left"/>
    </xf>
    <xf numFmtId="167" fontId="33" fillId="0" borderId="38" xfId="5" applyNumberFormat="1" applyFont="1" applyFill="1" applyBorder="1" applyAlignment="1" applyProtection="1">
      <alignment horizontal="right"/>
      <protection locked="0"/>
    </xf>
    <xf numFmtId="0" fontId="46" fillId="15" borderId="37" xfId="0" applyFont="1" applyFill="1" applyBorder="1" applyAlignment="1">
      <alignment horizontal="left" vertical="center"/>
    </xf>
    <xf numFmtId="0" fontId="43" fillId="0" borderId="37" xfId="0" applyFont="1" applyBorder="1" applyAlignment="1">
      <alignment horizontal="left"/>
    </xf>
    <xf numFmtId="167" fontId="33" fillId="7" borderId="38" xfId="5" applyNumberFormat="1" applyFont="1" applyFill="1" applyBorder="1" applyAlignment="1" applyProtection="1">
      <alignment horizontal="right"/>
      <protection locked="0"/>
    </xf>
    <xf numFmtId="0" fontId="46" fillId="7" borderId="37" xfId="0" applyFont="1" applyFill="1" applyBorder="1" applyAlignment="1">
      <alignment horizontal="left" vertical="center"/>
    </xf>
    <xf numFmtId="0" fontId="43" fillId="0" borderId="51" xfId="0" applyFont="1" applyBorder="1" applyAlignment="1">
      <alignment horizontal="left" vertical="center"/>
    </xf>
    <xf numFmtId="0" fontId="0" fillId="17" borderId="0" xfId="0" applyFill="1"/>
    <xf numFmtId="9" fontId="0" fillId="0" borderId="0" xfId="0" applyNumberFormat="1"/>
    <xf numFmtId="9" fontId="0" fillId="0" borderId="0" xfId="3" applyFont="1"/>
    <xf numFmtId="171" fontId="0" fillId="0" borderId="0" xfId="1" applyNumberFormat="1" applyFont="1"/>
    <xf numFmtId="171" fontId="0" fillId="0" borderId="0" xfId="1" applyNumberFormat="1" applyFont="1" applyAlignment="1">
      <alignment vertical="center"/>
    </xf>
    <xf numFmtId="166" fontId="33" fillId="0" borderId="38" xfId="1" applyFon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4" fontId="0" fillId="0" borderId="0" xfId="0" applyNumberFormat="1"/>
    <xf numFmtId="0" fontId="10" fillId="0" borderId="22" xfId="0" applyFont="1" applyFill="1" applyBorder="1" applyAlignment="1">
      <alignment vertical="center" wrapText="1"/>
    </xf>
    <xf numFmtId="1" fontId="49" fillId="0" borderId="0" xfId="4" applyNumberFormat="1" applyFont="1" applyAlignment="1">
      <alignment horizontal="center"/>
    </xf>
    <xf numFmtId="0" fontId="0" fillId="0" borderId="0" xfId="0"/>
    <xf numFmtId="4" fontId="0" fillId="0" borderId="0" xfId="0" applyNumberFormat="1" applyAlignment="1">
      <alignment horizontal="right"/>
    </xf>
    <xf numFmtId="0" fontId="0" fillId="10" borderId="0" xfId="0" applyFill="1"/>
    <xf numFmtId="0" fontId="13" fillId="10" borderId="0" xfId="0" applyFont="1" applyFill="1"/>
    <xf numFmtId="0" fontId="50" fillId="18" borderId="37" xfId="0" quotePrefix="1" applyFont="1" applyFill="1" applyBorder="1" applyAlignment="1">
      <alignment horizontal="left" vertical="center" indent="4"/>
    </xf>
    <xf numFmtId="0" fontId="44" fillId="0" borderId="37" xfId="0" applyFont="1" applyBorder="1" applyAlignment="1">
      <alignment horizontal="left" vertical="center" indent="3"/>
    </xf>
    <xf numFmtId="0" fontId="44" fillId="15" borderId="37" xfId="0" applyFont="1" applyFill="1" applyBorder="1" applyAlignment="1">
      <alignment horizontal="left" vertical="center" indent="3"/>
    </xf>
    <xf numFmtId="9" fontId="31" fillId="15" borderId="38" xfId="3" applyFont="1" applyFill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>
      <alignment vertical="center"/>
    </xf>
    <xf numFmtId="43" fontId="0" fillId="0" borderId="0" xfId="0" applyNumberFormat="1"/>
    <xf numFmtId="1" fontId="21" fillId="6" borderId="0" xfId="0" applyNumberFormat="1" applyFont="1" applyFill="1" applyAlignment="1">
      <alignment horizontal="center"/>
    </xf>
    <xf numFmtId="1" fontId="24" fillId="6" borderId="0" xfId="4" applyNumberFormat="1" applyFont="1" applyFill="1" applyAlignment="1">
      <alignment horizontal="center"/>
    </xf>
    <xf numFmtId="1" fontId="25" fillId="6" borderId="0" xfId="4" applyNumberFormat="1" applyFont="1" applyFill="1" applyAlignment="1">
      <alignment horizontal="center"/>
    </xf>
    <xf numFmtId="1" fontId="26" fillId="12" borderId="0" xfId="4" applyNumberFormat="1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textRotation="255" wrapText="1"/>
    </xf>
    <xf numFmtId="0" fontId="2" fillId="6" borderId="7" xfId="0" applyFont="1" applyFill="1" applyBorder="1" applyAlignment="1">
      <alignment horizontal="center" vertical="center" textRotation="255" wrapText="1"/>
    </xf>
    <xf numFmtId="0" fontId="2" fillId="6" borderId="9" xfId="0" applyFont="1" applyFill="1" applyBorder="1" applyAlignment="1">
      <alignment horizontal="center" vertical="center" textRotation="255" wrapText="1"/>
    </xf>
    <xf numFmtId="0" fontId="3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9" fillId="10" borderId="27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5" borderId="10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13" fillId="5" borderId="10" xfId="0" applyFont="1" applyFill="1" applyBorder="1" applyAlignment="1">
      <alignment horizontal="right" vertical="center" wrapText="1"/>
    </xf>
    <xf numFmtId="0" fontId="13" fillId="5" borderId="8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right" vertical="center" wrapText="1"/>
    </xf>
    <xf numFmtId="167" fontId="2" fillId="8" borderId="19" xfId="1" applyNumberFormat="1" applyFont="1" applyFill="1" applyBorder="1" applyAlignment="1">
      <alignment horizontal="center" vertical="center"/>
    </xf>
    <xf numFmtId="167" fontId="2" fillId="8" borderId="17" xfId="1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52" fillId="0" borderId="0" xfId="0" quotePrefix="1" applyFont="1" applyAlignment="1">
      <alignment horizontal="justify" vertical="top" wrapText="1"/>
    </xf>
    <xf numFmtId="43" fontId="33" fillId="0" borderId="38" xfId="3" applyNumberFormat="1" applyFont="1" applyFill="1" applyBorder="1" applyAlignment="1" applyProtection="1">
      <alignment horizontal="right" vertical="center"/>
      <protection locked="0"/>
    </xf>
    <xf numFmtId="43" fontId="31" fillId="15" borderId="38" xfId="3" applyNumberFormat="1" applyFont="1" applyFill="1" applyBorder="1" applyAlignment="1" applyProtection="1">
      <alignment horizontal="right" vertical="center"/>
      <protection locked="0"/>
    </xf>
    <xf numFmtId="0" fontId="53" fillId="19" borderId="0" xfId="0" applyFont="1" applyFill="1" applyAlignment="1" applyProtection="1">
      <alignment vertical="top"/>
      <protection locked="0"/>
    </xf>
    <xf numFmtId="0" fontId="0" fillId="0" borderId="0" xfId="0" applyProtection="1">
      <protection locked="0"/>
    </xf>
    <xf numFmtId="0" fontId="53" fillId="19" borderId="0" xfId="0" applyFont="1" applyFill="1" applyAlignment="1" applyProtection="1">
      <alignment horizontal="center" vertical="top"/>
      <protection locked="0"/>
    </xf>
    <xf numFmtId="0" fontId="53" fillId="19" borderId="0" xfId="0" applyFont="1" applyFill="1" applyProtection="1">
      <protection locked="0"/>
    </xf>
    <xf numFmtId="43" fontId="53" fillId="19" borderId="0" xfId="5" applyFont="1" applyFill="1" applyBorder="1" applyProtection="1">
      <protection locked="0"/>
    </xf>
    <xf numFmtId="0" fontId="54" fillId="19" borderId="0" xfId="0" applyFont="1" applyFill="1" applyAlignment="1" applyProtection="1">
      <alignment horizontal="right" vertical="top"/>
      <protection locked="0"/>
    </xf>
    <xf numFmtId="0" fontId="55" fillId="19" borderId="0" xfId="0" applyFont="1" applyFill="1" applyAlignment="1" applyProtection="1">
      <alignment horizontal="center" vertical="top"/>
      <protection locked="0"/>
    </xf>
    <xf numFmtId="0" fontId="56" fillId="0" borderId="0" xfId="0" applyFont="1" applyAlignment="1" applyProtection="1">
      <alignment horizontal="center" vertical="top"/>
      <protection locked="0"/>
    </xf>
    <xf numFmtId="0" fontId="56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53" fillId="0" borderId="0" xfId="0" applyFont="1" applyProtection="1">
      <protection locked="0"/>
    </xf>
    <xf numFmtId="0" fontId="53" fillId="19" borderId="0" xfId="0" applyFont="1" applyFill="1" applyAlignment="1" applyProtection="1">
      <alignment horizontal="center" vertical="top" wrapText="1"/>
      <protection locked="0"/>
    </xf>
  </cellXfs>
  <cellStyles count="14">
    <cellStyle name="Millares" xfId="1" builtinId="3"/>
    <cellStyle name="Millares 2" xfId="5" xr:uid="{00000000-0005-0000-0000-000001000000}"/>
    <cellStyle name="Millares 2 2" xfId="7" xr:uid="{00000000-0005-0000-0000-000002000000}"/>
    <cellStyle name="Millares 2 2 2" xfId="12" xr:uid="{00000000-0005-0000-0000-000003000000}"/>
    <cellStyle name="Millares 3" xfId="11" xr:uid="{00000000-0005-0000-0000-000004000000}"/>
    <cellStyle name="Millares 4" xfId="9" xr:uid="{00000000-0005-0000-0000-000005000000}"/>
    <cellStyle name="Moneda" xfId="2" builtinId="4"/>
    <cellStyle name="Moneda 2" xfId="8" xr:uid="{00000000-0005-0000-0000-000007000000}"/>
    <cellStyle name="Moneda 3" xfId="13" xr:uid="{00000000-0005-0000-0000-000008000000}"/>
    <cellStyle name="Normal" xfId="0" builtinId="0"/>
    <cellStyle name="Normal 2_ALDAMA 03 MAR 2009 MODIF_PIGOO CONCENTRADOPROG_INDIC_GESTION ORG  OP rvh" xfId="6" xr:uid="{00000000-0005-0000-0000-00000A000000}"/>
    <cellStyle name="Normal 3" xfId="10" xr:uid="{00000000-0005-0000-0000-00000B000000}"/>
    <cellStyle name="Normal_FORMATO DEL PPTO. 2002  SEPT. 4" xfId="4" xr:uid="{00000000-0005-0000-0000-00000C000000}"/>
    <cellStyle name="Porcentaje" xfId="3" builtinId="5"/>
  </cellStyles>
  <dxfs count="0"/>
  <tableStyles count="0" defaultTableStyle="TableStyleMedium2" defaultPivotStyle="PivotStyleLight16"/>
  <colors>
    <mruColors>
      <color rgb="FF0000CC"/>
      <color rgb="FF5D26F8"/>
      <color rgb="FFEA3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35392992077108E-2"/>
          <c:y val="0.11783958695317492"/>
          <c:w val="0.94133384164968203"/>
          <c:h val="0.552847738469659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graficos!$A$4</c:f>
              <c:strCache>
                <c:ptCount val="1"/>
                <c:pt idx="0">
                  <c:v>Eficiencia Física</c:v>
                </c:pt>
              </c:strCache>
            </c:strRef>
          </c:tx>
          <c:spPr>
            <a:solidFill>
              <a:srgbClr val="EA38F8">
                <a:alpha val="87843"/>
              </a:srgb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graficos!$B$4:$M$4</c:f>
              <c:numCache>
                <c:formatCode>0%</c:formatCode>
                <c:ptCount val="12"/>
                <c:pt idx="0">
                  <c:v>0.97816810969799906</c:v>
                </c:pt>
                <c:pt idx="1">
                  <c:v>0.97293452921885493</c:v>
                </c:pt>
                <c:pt idx="2">
                  <c:v>0.75283883391991502</c:v>
                </c:pt>
                <c:pt idx="3">
                  <c:v>0.7858924346102194</c:v>
                </c:pt>
                <c:pt idx="4">
                  <c:v>0.79858581529890726</c:v>
                </c:pt>
                <c:pt idx="5">
                  <c:v>1.0170631218905473</c:v>
                </c:pt>
                <c:pt idx="6">
                  <c:v>0.85164816278829958</c:v>
                </c:pt>
                <c:pt idx="7">
                  <c:v>0.95773942522536404</c:v>
                </c:pt>
                <c:pt idx="8">
                  <c:v>0.97304399761098948</c:v>
                </c:pt>
                <c:pt idx="9">
                  <c:v>0.70539837777001591</c:v>
                </c:pt>
                <c:pt idx="10">
                  <c:v>0.74314638590807858</c:v>
                </c:pt>
                <c:pt idx="11">
                  <c:v>0.9799848306084612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E-472D-8551-80AA0CC26E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axId val="87614976"/>
        <c:axId val="87616512"/>
      </c:barChart>
      <c:lineChart>
        <c:grouping val="standard"/>
        <c:varyColors val="0"/>
        <c:ser>
          <c:idx val="1"/>
          <c:order val="1"/>
          <c:tx>
            <c:strRef>
              <c:f>graficos!$A$5</c:f>
              <c:strCache>
                <c:ptCount val="1"/>
                <c:pt idx="0">
                  <c:v>Saltillo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E-472D-8551-80AA0CC26E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CE-472D-8551-80AA0CC26E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E-472D-8551-80AA0CC26E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CE-472D-8551-80AA0CC26E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E-472D-8551-80AA0CC26E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CE-472D-8551-80AA0CC26E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E-472D-8551-80AA0CC26E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CE-472D-8551-80AA0CC26E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E-472D-8551-80AA0CC26E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CE-472D-8551-80AA0CC26EF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E-472D-8551-80AA0CC26EF2}"/>
                </c:ext>
              </c:extLst>
            </c:dLbl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graficos!$B$5:$M$5</c:f>
              <c:numCache>
                <c:formatCode>0%</c:formatCode>
                <c:ptCount val="12"/>
                <c:pt idx="0">
                  <c:v>0.74</c:v>
                </c:pt>
                <c:pt idx="1">
                  <c:v>0.74</c:v>
                </c:pt>
                <c:pt idx="2">
                  <c:v>0.74</c:v>
                </c:pt>
                <c:pt idx="3">
                  <c:v>0.74</c:v>
                </c:pt>
                <c:pt idx="4">
                  <c:v>0.74</c:v>
                </c:pt>
                <c:pt idx="5">
                  <c:v>0.74</c:v>
                </c:pt>
                <c:pt idx="6">
                  <c:v>0.74</c:v>
                </c:pt>
                <c:pt idx="7">
                  <c:v>0.74</c:v>
                </c:pt>
                <c:pt idx="8">
                  <c:v>0.74</c:v>
                </c:pt>
                <c:pt idx="9">
                  <c:v>0.74</c:v>
                </c:pt>
                <c:pt idx="10">
                  <c:v>0.74</c:v>
                </c:pt>
                <c:pt idx="11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E-472D-8551-80AA0CC26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4976"/>
        <c:axId val="87616512"/>
      </c:lineChart>
      <c:catAx>
        <c:axId val="8761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616512"/>
        <c:crosses val="autoZero"/>
        <c:auto val="1"/>
        <c:lblAlgn val="ctr"/>
        <c:lblOffset val="100"/>
        <c:noMultiLvlLbl val="0"/>
      </c:catAx>
      <c:valAx>
        <c:axId val="876165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8761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graficos!$A$25</c:f>
              <c:strCache>
                <c:ptCount val="1"/>
                <c:pt idx="0">
                  <c:v>Eficiencia Comercial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accent5"/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graficos!$B$24:$M$24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graficos!$B$25:$M$25</c:f>
              <c:numCache>
                <c:formatCode>0%</c:formatCode>
                <c:ptCount val="12"/>
                <c:pt idx="0">
                  <c:v>0.60460782652888367</c:v>
                </c:pt>
                <c:pt idx="1">
                  <c:v>0.39628005198180638</c:v>
                </c:pt>
                <c:pt idx="2">
                  <c:v>0.39335803122519186</c:v>
                </c:pt>
                <c:pt idx="3">
                  <c:v>0.45984213524290013</c:v>
                </c:pt>
                <c:pt idx="4">
                  <c:v>0.42581164475449423</c:v>
                </c:pt>
                <c:pt idx="5">
                  <c:v>0.42595635724385678</c:v>
                </c:pt>
                <c:pt idx="6">
                  <c:v>0.37337046454373007</c:v>
                </c:pt>
                <c:pt idx="7">
                  <c:v>0.44998189936044408</c:v>
                </c:pt>
                <c:pt idx="8">
                  <c:v>0.36590555691955151</c:v>
                </c:pt>
                <c:pt idx="9">
                  <c:v>0.67385563380281688</c:v>
                </c:pt>
                <c:pt idx="10">
                  <c:v>0.44234960767218834</c:v>
                </c:pt>
                <c:pt idx="11">
                  <c:v>0.39583781227157416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4-4EA0-B0A8-7930B6D1A2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axId val="88876928"/>
        <c:axId val="88878464"/>
      </c:barChart>
      <c:lineChart>
        <c:grouping val="standard"/>
        <c:varyColors val="0"/>
        <c:ser>
          <c:idx val="1"/>
          <c:order val="1"/>
          <c:tx>
            <c:strRef>
              <c:f>graficos!$A$26</c:f>
              <c:strCache>
                <c:ptCount val="1"/>
                <c:pt idx="0">
                  <c:v>Monterrey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84-4EA0-B0A8-7930B6D1A2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84-4EA0-B0A8-7930B6D1A2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84-4EA0-B0A8-7930B6D1A25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84-4EA0-B0A8-7930B6D1A25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84-4EA0-B0A8-7930B6D1A2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84-4EA0-B0A8-7930B6D1A25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84-4EA0-B0A8-7930B6D1A25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84-4EA0-B0A8-7930B6D1A25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484-4EA0-B0A8-7930B6D1A25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84-4EA0-B0A8-7930B6D1A25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484-4EA0-B0A8-7930B6D1A252}"/>
                </c:ext>
              </c:extLst>
            </c:dLbl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graficos!$B$26:$M$26</c:f>
              <c:numCache>
                <c:formatCode>0%</c:formatCode>
                <c:ptCount val="12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4-4EA0-B0A8-7930B6D1A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76928"/>
        <c:axId val="88878464"/>
      </c:lineChart>
      <c:catAx>
        <c:axId val="8887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8878464"/>
        <c:crosses val="autoZero"/>
        <c:auto val="1"/>
        <c:lblAlgn val="ctr"/>
        <c:lblOffset val="100"/>
        <c:noMultiLvlLbl val="0"/>
      </c:catAx>
      <c:valAx>
        <c:axId val="888784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8887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764231718226232E-2"/>
          <c:y val="1.8518518518518545E-2"/>
          <c:w val="0.94077010036666753"/>
          <c:h val="0.692343613298338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graficos!$A$47</c:f>
              <c:strCache>
                <c:ptCount val="1"/>
                <c:pt idx="0">
                  <c:v>Eficiencia Cobranza</c:v>
                </c:pt>
              </c:strCache>
            </c:strRef>
          </c:tx>
          <c:spPr>
            <a:solidFill>
              <a:srgbClr val="00B0F0">
                <a:alpha val="88000"/>
              </a:srgb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rgbClr val="0070C0">
                  <a:alpha val="60000"/>
                </a:srgb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graficos!$B$46:$M$46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graficos!$B$47:$M$47</c:f>
              <c:numCache>
                <c:formatCode>0%</c:formatCode>
                <c:ptCount val="12"/>
                <c:pt idx="0">
                  <c:v>250.02714707125713</c:v>
                </c:pt>
                <c:pt idx="1">
                  <c:v>193.07802600403571</c:v>
                </c:pt>
                <c:pt idx="2">
                  <c:v>252.41038072673263</c:v>
                </c:pt>
                <c:pt idx="3">
                  <c:v>224.88693010839179</c:v>
                </c:pt>
                <c:pt idx="4">
                  <c:v>208.57012500312777</c:v>
                </c:pt>
                <c:pt idx="5">
                  <c:v>239.24658467126264</c:v>
                </c:pt>
                <c:pt idx="6">
                  <c:v>275.40355299948334</c:v>
                </c:pt>
                <c:pt idx="7">
                  <c:v>265.41922376202348</c:v>
                </c:pt>
                <c:pt idx="8">
                  <c:v>197.89083424840049</c:v>
                </c:pt>
                <c:pt idx="9">
                  <c:v>258.88274810279393</c:v>
                </c:pt>
                <c:pt idx="10">
                  <c:v>235.56572068576932</c:v>
                </c:pt>
                <c:pt idx="11">
                  <c:v>265.24509484121216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5-474A-9775-FE47CD99C6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axId val="89028864"/>
        <c:axId val="89047040"/>
      </c:barChart>
      <c:lineChart>
        <c:grouping val="standard"/>
        <c:varyColors val="0"/>
        <c:ser>
          <c:idx val="1"/>
          <c:order val="1"/>
          <c:tx>
            <c:strRef>
              <c:f>graficos!$A$48</c:f>
              <c:strCache>
                <c:ptCount val="1"/>
                <c:pt idx="0">
                  <c:v>Monterrey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C5-474A-9775-FE47CD99C6D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C5-474A-9775-FE47CD99C6D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C5-474A-9775-FE47CD99C6D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C5-474A-9775-FE47CD99C6D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C5-474A-9775-FE47CD99C6D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C5-474A-9775-FE47CD99C6D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C5-474A-9775-FE47CD99C6D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C5-474A-9775-FE47CD99C6D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C5-474A-9775-FE47CD99C6D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C5-474A-9775-FE47CD99C6D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C5-474A-9775-FE47CD99C6D6}"/>
                </c:ext>
              </c:extLst>
            </c:dLbl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graficos!$B$48:$M$48</c:f>
              <c:numCache>
                <c:formatCode>0%</c:formatCode>
                <c:ptCount val="12"/>
                <c:pt idx="0">
                  <c:v>0.97</c:v>
                </c:pt>
                <c:pt idx="1">
                  <c:v>0.97</c:v>
                </c:pt>
                <c:pt idx="2">
                  <c:v>0.97</c:v>
                </c:pt>
                <c:pt idx="3">
                  <c:v>0.97</c:v>
                </c:pt>
                <c:pt idx="4">
                  <c:v>0.97</c:v>
                </c:pt>
                <c:pt idx="5">
                  <c:v>0.97</c:v>
                </c:pt>
                <c:pt idx="6">
                  <c:v>0.97</c:v>
                </c:pt>
                <c:pt idx="7">
                  <c:v>0.97</c:v>
                </c:pt>
                <c:pt idx="8">
                  <c:v>0.97</c:v>
                </c:pt>
                <c:pt idx="9">
                  <c:v>0.97</c:v>
                </c:pt>
                <c:pt idx="10">
                  <c:v>0.97</c:v>
                </c:pt>
                <c:pt idx="11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C5-474A-9775-FE47CD99C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28864"/>
        <c:axId val="89047040"/>
      </c:lineChart>
      <c:catAx>
        <c:axId val="8902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047040"/>
        <c:crosses val="autoZero"/>
        <c:auto val="1"/>
        <c:lblAlgn val="ctr"/>
        <c:lblOffset val="100"/>
        <c:noMultiLvlLbl val="0"/>
      </c:catAx>
      <c:valAx>
        <c:axId val="890470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8902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281557501941555"/>
          <c:y val="0.90798556430446198"/>
          <c:w val="0.4743686533565331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graficos!$A$69</c:f>
              <c:strCache>
                <c:ptCount val="1"/>
                <c:pt idx="0">
                  <c:v>Dotación l/h/d</c:v>
                </c:pt>
              </c:strCache>
            </c:strRef>
          </c:tx>
          <c:spPr>
            <a:solidFill>
              <a:schemeClr val="accent4">
                <a:lumMod val="75000"/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tx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graficos!$B$68:$M$68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graficos!$B$69:$M$69</c:f>
              <c:numCache>
                <c:formatCode>_(* #,##0_);_(* \(#,##0\);_(* "-"??_);_(@_)</c:formatCode>
                <c:ptCount val="12"/>
                <c:pt idx="0">
                  <c:v>0.85141800337071094</c:v>
                </c:pt>
                <c:pt idx="1">
                  <c:v>0.89268562273952212</c:v>
                </c:pt>
                <c:pt idx="2">
                  <c:v>1.0623061197861996</c:v>
                </c:pt>
                <c:pt idx="3">
                  <c:v>1.1030799385813668</c:v>
                </c:pt>
                <c:pt idx="4">
                  <c:v>1.1522836385980264</c:v>
                </c:pt>
                <c:pt idx="5">
                  <c:v>0.9074643684792929</c:v>
                </c:pt>
                <c:pt idx="6">
                  <c:v>1.0261528635015573</c:v>
                </c:pt>
                <c:pt idx="7">
                  <c:v>0.91557680647487116</c:v>
                </c:pt>
                <c:pt idx="8">
                  <c:v>0.88584295764759957</c:v>
                </c:pt>
                <c:pt idx="9">
                  <c:v>0.90883995579158661</c:v>
                </c:pt>
                <c:pt idx="10">
                  <c:v>0.87102894043828272</c:v>
                </c:pt>
                <c:pt idx="11">
                  <c:v>0.83706251526549202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8-480E-89E6-27E58CF8C0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axId val="89078016"/>
        <c:axId val="89100288"/>
      </c:barChart>
      <c:lineChart>
        <c:grouping val="standard"/>
        <c:varyColors val="0"/>
        <c:ser>
          <c:idx val="1"/>
          <c:order val="1"/>
          <c:tx>
            <c:strRef>
              <c:f>graficos!$A$70</c:f>
              <c:strCache>
                <c:ptCount val="1"/>
                <c:pt idx="0">
                  <c:v>Consumo l/h/d</c:v>
                </c:pt>
              </c:strCache>
            </c:strRef>
          </c:tx>
          <c:spPr>
            <a:ln w="28575" cap="rnd">
              <a:solidFill>
                <a:srgbClr val="5D26F8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6">
                  <a:lumMod val="50000"/>
                  <a:alpha val="48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graficos!$B$68:$M$68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graficos!$B$70:$M$70</c:f>
              <c:numCache>
                <c:formatCode>_(* #,##0_);_(* \(#,##0\);_(* "-"??_);_(@_)</c:formatCode>
                <c:ptCount val="12"/>
                <c:pt idx="0">
                  <c:v>0.83282993891997292</c:v>
                </c:pt>
                <c:pt idx="1">
                  <c:v>0.86852466610051726</c:v>
                </c:pt>
                <c:pt idx="2">
                  <c:v>0.79974530048583203</c:v>
                </c:pt>
                <c:pt idx="3">
                  <c:v>0.86690217850140161</c:v>
                </c:pt>
                <c:pt idx="4">
                  <c:v>0.92019736898539617</c:v>
                </c:pt>
                <c:pt idx="5">
                  <c:v>0.92294854360998357</c:v>
                </c:pt>
                <c:pt idx="6">
                  <c:v>0.87392120094105419</c:v>
                </c:pt>
                <c:pt idx="7">
                  <c:v>0.87688400438291747</c:v>
                </c:pt>
                <c:pt idx="8">
                  <c:v>0.86196417276496273</c:v>
                </c:pt>
                <c:pt idx="9">
                  <c:v>0.64109423046795821</c:v>
                </c:pt>
                <c:pt idx="10">
                  <c:v>0.6473020091080528</c:v>
                </c:pt>
                <c:pt idx="11">
                  <c:v>0.82030856723114565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B8-480E-89E6-27E58CF8C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78016"/>
        <c:axId val="89100288"/>
      </c:lineChart>
      <c:catAx>
        <c:axId val="8907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100288"/>
        <c:crosses val="autoZero"/>
        <c:auto val="1"/>
        <c:lblAlgn val="ctr"/>
        <c:lblOffset val="100"/>
        <c:noMultiLvlLbl val="0"/>
      </c:catAx>
      <c:valAx>
        <c:axId val="89100288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one"/>
        <c:crossAx val="8907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graficos!$A$94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graficos!$B$93:$M$93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graficos!$B$94:$M$94</c:f>
              <c:numCache>
                <c:formatCode>_(* #,##0_);_(* \(#,##0\);_(* "-"??_);_(@_)</c:formatCode>
                <c:ptCount val="12"/>
                <c:pt idx="0">
                  <c:v>235.60588318959202</c:v>
                </c:pt>
                <c:pt idx="1">
                  <c:v>244.01776102456378</c:v>
                </c:pt>
                <c:pt idx="2">
                  <c:v>213.12286088326374</c:v>
                </c:pt>
                <c:pt idx="3">
                  <c:v>256.6398272732755</c:v>
                </c:pt>
                <c:pt idx="4">
                  <c:v>300.9047050040071</c:v>
                </c:pt>
                <c:pt idx="5">
                  <c:v>210.90674858675564</c:v>
                </c:pt>
                <c:pt idx="6">
                  <c:v>240.30263892442531</c:v>
                </c:pt>
                <c:pt idx="7">
                  <c:v>224.27991329837783</c:v>
                </c:pt>
                <c:pt idx="8">
                  <c:v>254.51720389435738</c:v>
                </c:pt>
                <c:pt idx="9">
                  <c:v>209.34930820963157</c:v>
                </c:pt>
                <c:pt idx="10">
                  <c:v>248.26088303427292</c:v>
                </c:pt>
                <c:pt idx="11">
                  <c:v>263.47195487578909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28-4C06-85AE-6EAC3D062D7E}"/>
            </c:ext>
          </c:extLst>
        </c:ser>
        <c:ser>
          <c:idx val="1"/>
          <c:order val="1"/>
          <c:tx>
            <c:strRef>
              <c:f>graficos!$A$95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graficos!$B$93:$M$93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graficos!$B$95:$M$95</c:f>
              <c:numCache>
                <c:formatCode>_(* #,##0_);_(* \(#,##0\);_(* "-"??_);_(@_)</c:formatCode>
                <c:ptCount val="12"/>
                <c:pt idx="0">
                  <c:v>233.24982435769607</c:v>
                </c:pt>
                <c:pt idx="1">
                  <c:v>241.57758341431813</c:v>
                </c:pt>
                <c:pt idx="2">
                  <c:v>210.99163227443111</c:v>
                </c:pt>
                <c:pt idx="3">
                  <c:v>254.07342900054275</c:v>
                </c:pt>
                <c:pt idx="4">
                  <c:v>297.89565795396697</c:v>
                </c:pt>
                <c:pt idx="5">
                  <c:v>208.7976811008881</c:v>
                </c:pt>
                <c:pt idx="6">
                  <c:v>237.89961253518106</c:v>
                </c:pt>
                <c:pt idx="7">
                  <c:v>222.03711416539403</c:v>
                </c:pt>
                <c:pt idx="8">
                  <c:v>251.9720318554138</c:v>
                </c:pt>
                <c:pt idx="9">
                  <c:v>207.25581512753527</c:v>
                </c:pt>
                <c:pt idx="10">
                  <c:v>245.77827420393021</c:v>
                </c:pt>
                <c:pt idx="11">
                  <c:v>260.83723532703124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28-4C06-85AE-6EAC3D062D7E}"/>
            </c:ext>
          </c:extLst>
        </c:ser>
        <c:ser>
          <c:idx val="2"/>
          <c:order val="2"/>
          <c:tx>
            <c:strRef>
              <c:f>graficos!$A$96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graficos!$B$93:$M$93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graficos!$B$96:$M$96</c:f>
              <c:numCache>
                <c:formatCode>_(* #,##0_);_(* \(#,##0\);_(* "-"??_);_(@_)</c:formatCode>
                <c:ptCount val="12"/>
                <c:pt idx="0">
                  <c:v>230.91732611411911</c:v>
                </c:pt>
                <c:pt idx="1">
                  <c:v>239.16180758017492</c:v>
                </c:pt>
                <c:pt idx="2">
                  <c:v>208.8817159516868</c:v>
                </c:pt>
                <c:pt idx="3">
                  <c:v>251.5326947105373</c:v>
                </c:pt>
                <c:pt idx="4">
                  <c:v>294.9167013744273</c:v>
                </c:pt>
                <c:pt idx="5">
                  <c:v>206.70970428987923</c:v>
                </c:pt>
                <c:pt idx="6">
                  <c:v>235.52061640982927</c:v>
                </c:pt>
                <c:pt idx="7">
                  <c:v>219.81674302374009</c:v>
                </c:pt>
                <c:pt idx="8">
                  <c:v>249.45231153685967</c:v>
                </c:pt>
                <c:pt idx="9">
                  <c:v>205.18325697625991</c:v>
                </c:pt>
                <c:pt idx="10">
                  <c:v>243.3204914618909</c:v>
                </c:pt>
                <c:pt idx="11">
                  <c:v>258.22886297376095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28-4C06-85AE-6EAC3D062D7E}"/>
            </c:ext>
          </c:extLst>
        </c:ser>
        <c:ser>
          <c:idx val="3"/>
          <c:order val="3"/>
          <c:tx>
            <c:strRef>
              <c:f>graficos!$A$97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graficos!$B$93:$M$93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graficos!$B$97:$M$97</c:f>
              <c:numCache>
                <c:formatCode>_(* #,##0_);_(* \(#,##0\);_(* "-"??_);_(@_)</c:formatCode>
                <c:ptCount val="12"/>
                <c:pt idx="0">
                  <c:v>226.29897959183674</c:v>
                </c:pt>
                <c:pt idx="1">
                  <c:v>234.37857142857143</c:v>
                </c:pt>
                <c:pt idx="2">
                  <c:v>204.70408163265307</c:v>
                </c:pt>
                <c:pt idx="3">
                  <c:v>246.50204081632654</c:v>
                </c:pt>
                <c:pt idx="4">
                  <c:v>289.01836734693876</c:v>
                </c:pt>
                <c:pt idx="5">
                  <c:v>202.57551020408164</c:v>
                </c:pt>
                <c:pt idx="6">
                  <c:v>230.81020408163266</c:v>
                </c:pt>
                <c:pt idx="7">
                  <c:v>215.42040816326531</c:v>
                </c:pt>
                <c:pt idx="8">
                  <c:v>244.46326530612245</c:v>
                </c:pt>
                <c:pt idx="9">
                  <c:v>201.07959183673469</c:v>
                </c:pt>
                <c:pt idx="10">
                  <c:v>238.45408163265307</c:v>
                </c:pt>
                <c:pt idx="11">
                  <c:v>253.06428571428572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28-4C06-85AE-6EAC3D062D7E}"/>
            </c:ext>
          </c:extLst>
        </c:ser>
        <c:ser>
          <c:idx val="4"/>
          <c:order val="4"/>
          <c:tx>
            <c:strRef>
              <c:f>graficos!$A$98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graficos!$B$93:$M$93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graficos!$B$98:$M$98</c:f>
              <c:numCache>
                <c:formatCode>_(* #,##0_);_(* \(#,##0\);_(* "-"??_);_(@_)</c:formatCode>
                <c:ptCount val="12"/>
                <c:pt idx="0">
                  <c:v>221.773</c:v>
                </c:pt>
                <c:pt idx="1">
                  <c:v>229.691</c:v>
                </c:pt>
                <c:pt idx="2">
                  <c:v>200.61</c:v>
                </c:pt>
                <c:pt idx="3">
                  <c:v>241.572</c:v>
                </c:pt>
                <c:pt idx="4">
                  <c:v>283.238</c:v>
                </c:pt>
                <c:pt idx="5">
                  <c:v>198.524</c:v>
                </c:pt>
                <c:pt idx="6">
                  <c:v>226.19399999999999</c:v>
                </c:pt>
                <c:pt idx="7">
                  <c:v>211.11199999999999</c:v>
                </c:pt>
                <c:pt idx="8">
                  <c:v>239.57400000000001</c:v>
                </c:pt>
                <c:pt idx="9">
                  <c:v>197.05799999999999</c:v>
                </c:pt>
                <c:pt idx="10">
                  <c:v>233.685</c:v>
                </c:pt>
                <c:pt idx="11">
                  <c:v>248.00299999999999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28-4C06-85AE-6EAC3D062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346624"/>
        <c:axId val="90348160"/>
      </c:lineChart>
      <c:catAx>
        <c:axId val="9034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348160"/>
        <c:crosses val="autoZero"/>
        <c:auto val="1"/>
        <c:lblAlgn val="ctr"/>
        <c:lblOffset val="100"/>
        <c:noMultiLvlLbl val="0"/>
      </c:catAx>
      <c:valAx>
        <c:axId val="9034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34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graficos!$A$119</c:f>
              <c:strCache>
                <c:ptCount val="1"/>
                <c:pt idx="0">
                  <c:v>Padron Usuarios 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graficos!$B$118:$M$118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graficos!$B$119:$M$119</c:f>
              <c:numCache>
                <c:formatCode>_(* #,##0_);_(* \(#,##0\);_(* "-"??_);_(@_)</c:formatCode>
                <c:ptCount val="12"/>
                <c:pt idx="0">
                  <c:v>1.177</c:v>
                </c:pt>
                <c:pt idx="1">
                  <c:v>1.08</c:v>
                </c:pt>
                <c:pt idx="2">
                  <c:v>1.08</c:v>
                </c:pt>
                <c:pt idx="3">
                  <c:v>1.08</c:v>
                </c:pt>
                <c:pt idx="4">
                  <c:v>1.0860000000000001</c:v>
                </c:pt>
                <c:pt idx="5">
                  <c:v>1.087</c:v>
                </c:pt>
                <c:pt idx="6">
                  <c:v>1.0880000000000001</c:v>
                </c:pt>
                <c:pt idx="7">
                  <c:v>1.091</c:v>
                </c:pt>
                <c:pt idx="8">
                  <c:v>1.095</c:v>
                </c:pt>
                <c:pt idx="9">
                  <c:v>1.097</c:v>
                </c:pt>
                <c:pt idx="10">
                  <c:v>1.097</c:v>
                </c:pt>
                <c:pt idx="11">
                  <c:v>1.0960000000000001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4-42A8-ADDD-E75F9E71DB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0427776"/>
        <c:axId val="90429312"/>
      </c:barChart>
      <c:lineChart>
        <c:grouping val="standard"/>
        <c:varyColors val="0"/>
        <c:ser>
          <c:idx val="1"/>
          <c:order val="1"/>
          <c:tx>
            <c:strRef>
              <c:f>graficos!$A$120</c:f>
              <c:strCache>
                <c:ptCount val="1"/>
                <c:pt idx="0">
                  <c:v>Con  Medición</c:v>
                </c:pt>
              </c:strCache>
            </c:strRef>
          </c:tx>
          <c:spPr>
            <a:ln w="15875" cap="rnd">
              <a:solidFill>
                <a:srgbClr val="5D26F8">
                  <a:alpha val="82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366163636424611E-3"/>
                  <c:y val="-3.3595794970418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24-42A8-ADDD-E75F9E71DB88}"/>
                </c:ext>
              </c:extLst>
            </c:dLbl>
            <c:dLbl>
              <c:idx val="1"/>
              <c:layout>
                <c:manualLayout>
                  <c:x val="2.366163636424611E-3"/>
                  <c:y val="-3.3595794970418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24-42A8-ADDD-E75F9E71DB88}"/>
                </c:ext>
              </c:extLst>
            </c:dLbl>
            <c:dLbl>
              <c:idx val="2"/>
              <c:layout>
                <c:manualLayout>
                  <c:x val="-4.3379165547962609E-17"/>
                  <c:y val="-3.7795269341720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24-42A8-ADDD-E75F9E71DB88}"/>
                </c:ext>
              </c:extLst>
            </c:dLbl>
            <c:dLbl>
              <c:idx val="3"/>
              <c:layout>
                <c:manualLayout>
                  <c:x val="2.3661636364245681E-3"/>
                  <c:y val="-3.7795269341720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24-42A8-ADDD-E75F9E71DB88}"/>
                </c:ext>
              </c:extLst>
            </c:dLbl>
            <c:dLbl>
              <c:idx val="4"/>
              <c:layout>
                <c:manualLayout>
                  <c:x val="4.7323272728492299E-3"/>
                  <c:y val="-3.3595794970418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24-42A8-ADDD-E75F9E71DB88}"/>
                </c:ext>
              </c:extLst>
            </c:dLbl>
            <c:dLbl>
              <c:idx val="5"/>
              <c:layout>
                <c:manualLayout>
                  <c:x val="0"/>
                  <c:y val="-3.7795269341720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A24-42A8-ADDD-E75F9E71DB88}"/>
                </c:ext>
              </c:extLst>
            </c:dLbl>
            <c:dLbl>
              <c:idx val="6"/>
              <c:layout>
                <c:manualLayout>
                  <c:x val="-2.366163636424611E-3"/>
                  <c:y val="-3.7795269341720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A24-42A8-ADDD-E75F9E71DB88}"/>
                </c:ext>
              </c:extLst>
            </c:dLbl>
            <c:dLbl>
              <c:idx val="7"/>
              <c:layout>
                <c:manualLayout>
                  <c:x val="-8.6758331095925502E-17"/>
                  <c:y val="-4.1994743713023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A24-42A8-ADDD-E75F9E71DB88}"/>
                </c:ext>
              </c:extLst>
            </c:dLbl>
            <c:dLbl>
              <c:idx val="8"/>
              <c:layout>
                <c:manualLayout>
                  <c:x val="2.3661636364244376E-3"/>
                  <c:y val="-3.7795269341720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24-42A8-ADDD-E75F9E71DB88}"/>
                </c:ext>
              </c:extLst>
            </c:dLbl>
            <c:dLbl>
              <c:idx val="9"/>
              <c:layout>
                <c:manualLayout>
                  <c:x val="0"/>
                  <c:y val="-3.7795269341720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A24-42A8-ADDD-E75F9E71DB88}"/>
                </c:ext>
              </c:extLst>
            </c:dLbl>
            <c:dLbl>
              <c:idx val="10"/>
              <c:layout>
                <c:manualLayout>
                  <c:x val="-1.7351666219185103E-16"/>
                  <c:y val="-4.1994743713023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A24-42A8-ADDD-E75F9E71DB88}"/>
                </c:ext>
              </c:extLst>
            </c:dLbl>
            <c:dLbl>
              <c:idx val="11"/>
              <c:layout>
                <c:manualLayout>
                  <c:x val="0"/>
                  <c:y val="-4.1994743713023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A24-42A8-ADDD-E75F9E71DB88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graficos!$B$120:$M$120</c:f>
              <c:numCache>
                <c:formatCode>_(* #,##0_);_(* \(#,##0\);_(* "-"??_);_(@_)</c:formatCode>
                <c:ptCount val="12"/>
                <c:pt idx="0">
                  <c:v>258.375</c:v>
                </c:pt>
                <c:pt idx="1">
                  <c:v>259.20648</c:v>
                </c:pt>
                <c:pt idx="2">
                  <c:v>259.41708</c:v>
                </c:pt>
                <c:pt idx="3">
                  <c:v>260.16744</c:v>
                </c:pt>
                <c:pt idx="4">
                  <c:v>260.55588</c:v>
                </c:pt>
                <c:pt idx="5">
                  <c:v>260.86008000000004</c:v>
                </c:pt>
                <c:pt idx="6">
                  <c:v>261.18144000000001</c:v>
                </c:pt>
                <c:pt idx="7">
                  <c:v>261.62837999999999</c:v>
                </c:pt>
                <c:pt idx="8">
                  <c:v>261.83897999999999</c:v>
                </c:pt>
                <c:pt idx="9">
                  <c:v>261.76799999999997</c:v>
                </c:pt>
                <c:pt idx="10">
                  <c:v>262.60494</c:v>
                </c:pt>
                <c:pt idx="11">
                  <c:v>262.69854000000004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24-42A8-ADDD-E75F9E71DB88}"/>
            </c:ext>
          </c:extLst>
        </c:ser>
        <c:ser>
          <c:idx val="2"/>
          <c:order val="2"/>
          <c:tx>
            <c:strRef>
              <c:f>graficos!$A$121</c:f>
              <c:strCache>
                <c:ptCount val="1"/>
                <c:pt idx="0">
                  <c:v>Servicio Continuo</c:v>
                </c:pt>
              </c:strCache>
            </c:strRef>
          </c:tx>
          <c:spPr>
            <a:ln w="15875" cap="rnd">
              <a:solidFill>
                <a:srgbClr val="FF0000">
                  <a:alpha val="9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4.1994743713023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24-42A8-ADDD-E75F9E71DB88}"/>
                </c:ext>
              </c:extLst>
            </c:dLbl>
            <c:dLbl>
              <c:idx val="1"/>
              <c:layout>
                <c:manualLayout>
                  <c:x val="7.0984909092738462E-3"/>
                  <c:y val="-3.7795269341720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24-42A8-ADDD-E75F9E71DB88}"/>
                </c:ext>
              </c:extLst>
            </c:dLbl>
            <c:dLbl>
              <c:idx val="2"/>
              <c:layout>
                <c:manualLayout>
                  <c:x val="2.366163636424611E-3"/>
                  <c:y val="-3.3595794970418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24-42A8-ADDD-E75F9E71DB88}"/>
                </c:ext>
              </c:extLst>
            </c:dLbl>
            <c:dLbl>
              <c:idx val="3"/>
              <c:layout>
                <c:manualLayout>
                  <c:x val="9.4646545456984685E-3"/>
                  <c:y val="-3.7795269341720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24-42A8-ADDD-E75F9E71DB88}"/>
                </c:ext>
              </c:extLst>
            </c:dLbl>
            <c:dLbl>
              <c:idx val="4"/>
              <c:layout>
                <c:manualLayout>
                  <c:x val="0"/>
                  <c:y val="-4.1994743713023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24-42A8-ADDD-E75F9E71DB88}"/>
                </c:ext>
              </c:extLst>
            </c:dLbl>
            <c:dLbl>
              <c:idx val="5"/>
              <c:layout>
                <c:manualLayout>
                  <c:x val="0"/>
                  <c:y val="-2.9396320599116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24-42A8-ADDD-E75F9E71DB88}"/>
                </c:ext>
              </c:extLst>
            </c:dLbl>
            <c:dLbl>
              <c:idx val="6"/>
              <c:layout>
                <c:manualLayout>
                  <c:x val="7.0984909092737533E-3"/>
                  <c:y val="-3.7795269341720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24-42A8-ADDD-E75F9E71DB88}"/>
                </c:ext>
              </c:extLst>
            </c:dLbl>
            <c:dLbl>
              <c:idx val="7"/>
              <c:layout>
                <c:manualLayout>
                  <c:x val="2.3661636364245243E-3"/>
                  <c:y val="-3.3595794970418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24-42A8-ADDD-E75F9E71DB88}"/>
                </c:ext>
              </c:extLst>
            </c:dLbl>
            <c:dLbl>
              <c:idx val="8"/>
              <c:layout>
                <c:manualLayout>
                  <c:x val="7.0984909092738462E-3"/>
                  <c:y val="-4.619421808432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24-42A8-ADDD-E75F9E71DB88}"/>
                </c:ext>
              </c:extLst>
            </c:dLbl>
            <c:dLbl>
              <c:idx val="9"/>
              <c:layout>
                <c:manualLayout>
                  <c:x val="4.7323272728492299E-3"/>
                  <c:y val="-3.3595794970418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24-42A8-ADDD-E75F9E71DB88}"/>
                </c:ext>
              </c:extLst>
            </c:dLbl>
            <c:dLbl>
              <c:idx val="10"/>
              <c:layout>
                <c:manualLayout>
                  <c:x val="7.0984909092738462E-3"/>
                  <c:y val="-5.0393692455627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24-42A8-ADDD-E75F9E71DB88}"/>
                </c:ext>
              </c:extLst>
            </c:dLbl>
            <c:dLbl>
              <c:idx val="11"/>
              <c:layout>
                <c:manualLayout>
                  <c:x val="2.3661636364244376E-3"/>
                  <c:y val="-2.9396320599116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24-42A8-ADDD-E75F9E71DB88}"/>
                </c:ext>
              </c:extLst>
            </c:dLbl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graficos!$B$121:$M$121</c:f>
              <c:numCache>
                <c:formatCode>_(* #,##0_);_(* \(#,##0\);_(* "-"??_);_(@_)</c:formatCode>
                <c:ptCount val="12"/>
                <c:pt idx="0">
                  <c:v>1.1639999999999999</c:v>
                </c:pt>
                <c:pt idx="1">
                  <c:v>1.1639999999999999</c:v>
                </c:pt>
                <c:pt idx="2">
                  <c:v>1.1639999999999999</c:v>
                </c:pt>
                <c:pt idx="3">
                  <c:v>1.169</c:v>
                </c:pt>
                <c:pt idx="4">
                  <c:v>1.1859999999999999</c:v>
                </c:pt>
                <c:pt idx="5">
                  <c:v>1.1859999999999999</c:v>
                </c:pt>
                <c:pt idx="6">
                  <c:v>1.1859999999999999</c:v>
                </c:pt>
                <c:pt idx="7">
                  <c:v>1.1859999999999999</c:v>
                </c:pt>
                <c:pt idx="8">
                  <c:v>1.1879999999999999</c:v>
                </c:pt>
                <c:pt idx="9">
                  <c:v>1.1879999999999999</c:v>
                </c:pt>
                <c:pt idx="10">
                  <c:v>1.1879999999999999</c:v>
                </c:pt>
                <c:pt idx="11">
                  <c:v>1.1879999999999999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24-42A8-ADDD-E75F9E71DB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27776"/>
        <c:axId val="90429312"/>
      </c:lineChart>
      <c:catAx>
        <c:axId val="9042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429312"/>
        <c:crosses val="autoZero"/>
        <c:auto val="1"/>
        <c:lblAlgn val="ctr"/>
        <c:lblOffset val="100"/>
        <c:noMultiLvlLbl val="0"/>
      </c:catAx>
      <c:valAx>
        <c:axId val="90429312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42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graficos!$A$145</c:f>
              <c:strCache>
                <c:ptCount val="1"/>
                <c:pt idx="0">
                  <c:v>No. Empleados X cada 1,000 Tomas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graficos!$B$144:$M$144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graficos!$B$145:$M$145</c:f>
              <c:numCache>
                <c:formatCode>#,##0.00</c:formatCode>
                <c:ptCount val="12"/>
                <c:pt idx="0">
                  <c:v>4.2480883602378929</c:v>
                </c:pt>
                <c:pt idx="1">
                  <c:v>4.6296296296296298</c:v>
                </c:pt>
                <c:pt idx="2">
                  <c:v>4.6296296296296298</c:v>
                </c:pt>
                <c:pt idx="3">
                  <c:v>4.6296296296296298</c:v>
                </c:pt>
                <c:pt idx="4">
                  <c:v>3.6832412523020257</c:v>
                </c:pt>
                <c:pt idx="5">
                  <c:v>3.6798528058877644</c:v>
                </c:pt>
                <c:pt idx="6">
                  <c:v>3.6764705882352939</c:v>
                </c:pt>
                <c:pt idx="7">
                  <c:v>4.5829514207149407</c:v>
                </c:pt>
                <c:pt idx="8">
                  <c:v>4.5662100456621006</c:v>
                </c:pt>
                <c:pt idx="9">
                  <c:v>4.5578851412944399</c:v>
                </c:pt>
                <c:pt idx="10">
                  <c:v>3.6463081130355515</c:v>
                </c:pt>
                <c:pt idx="11">
                  <c:v>4.5620437956204372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46-49D3-B37E-8B2D21032341}"/>
            </c:ext>
          </c:extLst>
        </c:ser>
        <c:ser>
          <c:idx val="1"/>
          <c:order val="1"/>
          <c:tx>
            <c:strRef>
              <c:f>graficos!$A$146</c:f>
              <c:strCache>
                <c:ptCount val="1"/>
                <c:pt idx="0">
                  <c:v>Saltillo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46-49D3-B37E-8B2D2103234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46-49D3-B37E-8B2D2103234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46-49D3-B37E-8B2D2103234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46-49D3-B37E-8B2D2103234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46-49D3-B37E-8B2D2103234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46-49D3-B37E-8B2D2103234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46-49D3-B37E-8B2D2103234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46-49D3-B37E-8B2D2103234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46-49D3-B37E-8B2D2103234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46-49D3-B37E-8B2D2103234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46-49D3-B37E-8B2D21032341}"/>
                </c:ext>
              </c:extLst>
            </c:dLbl>
            <c:dLbl>
              <c:idx val="11"/>
              <c:layout>
                <c:manualLayout>
                  <c:x val="-7.7546199492972171E-3"/>
                  <c:y val="-1.790740002002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46-49D3-B37E-8B2D210323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graficos!$B$146:$M$146</c:f>
              <c:numCache>
                <c:formatCode>General</c:formatCode>
                <c:ptCount val="12"/>
                <c:pt idx="0">
                  <c:v>1.68</c:v>
                </c:pt>
                <c:pt idx="1">
                  <c:v>1.68</c:v>
                </c:pt>
                <c:pt idx="2">
                  <c:v>1.68</c:v>
                </c:pt>
                <c:pt idx="3">
                  <c:v>1.68</c:v>
                </c:pt>
                <c:pt idx="4">
                  <c:v>1.68</c:v>
                </c:pt>
                <c:pt idx="5">
                  <c:v>1.68</c:v>
                </c:pt>
                <c:pt idx="6">
                  <c:v>1.68</c:v>
                </c:pt>
                <c:pt idx="7">
                  <c:v>1.68</c:v>
                </c:pt>
                <c:pt idx="8">
                  <c:v>1.68</c:v>
                </c:pt>
                <c:pt idx="9">
                  <c:v>1.68</c:v>
                </c:pt>
                <c:pt idx="10">
                  <c:v>1.68</c:v>
                </c:pt>
                <c:pt idx="11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46-49D3-B37E-8B2D210323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77792"/>
        <c:axId val="88979328"/>
      </c:lineChart>
      <c:catAx>
        <c:axId val="8897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8979328"/>
        <c:crosses val="autoZero"/>
        <c:auto val="1"/>
        <c:lblAlgn val="ctr"/>
        <c:lblOffset val="100"/>
        <c:noMultiLvlLbl val="0"/>
      </c:catAx>
      <c:valAx>
        <c:axId val="8897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897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201934399067E-2"/>
          <c:y val="9.4623650951820584E-2"/>
          <c:w val="0.8838912948381461"/>
          <c:h val="0.58418671624380281"/>
        </c:manualLayout>
      </c:layout>
      <c:lineChart>
        <c:grouping val="standard"/>
        <c:varyColors val="0"/>
        <c:ser>
          <c:idx val="0"/>
          <c:order val="0"/>
          <c:tx>
            <c:strRef>
              <c:f>graficos!$A$175</c:f>
              <c:strCache>
                <c:ptCount val="1"/>
                <c:pt idx="0">
                  <c:v>Costo Por m3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graficos!$B$174:$M$174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graficos!$B$175:$M$175</c:f>
              <c:numCache>
                <c:formatCode>0.00</c:formatCode>
                <c:ptCount val="12"/>
                <c:pt idx="0">
                  <c:v>0.90417995774472848</c:v>
                </c:pt>
                <c:pt idx="1">
                  <c:v>0.86261804101307837</c:v>
                </c:pt>
                <c:pt idx="2">
                  <c:v>0.80838701108971378</c:v>
                </c:pt>
                <c:pt idx="3">
                  <c:v>0.81754812304150415</c:v>
                </c:pt>
                <c:pt idx="4">
                  <c:v>0.85705102696746149</c:v>
                </c:pt>
                <c:pt idx="5">
                  <c:v>1.034903606965174</c:v>
                </c:pt>
                <c:pt idx="6">
                  <c:v>0.87914082589623355</c:v>
                </c:pt>
                <c:pt idx="7">
                  <c:v>0.88801140303567305</c:v>
                </c:pt>
                <c:pt idx="8">
                  <c:v>0.87465657973322719</c:v>
                </c:pt>
                <c:pt idx="9">
                  <c:v>0.92633989211006329</c:v>
                </c:pt>
                <c:pt idx="10">
                  <c:v>0.955416076128771</c:v>
                </c:pt>
                <c:pt idx="11">
                  <c:v>0.93818472947918419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B-4D59-A910-99A0DA9C4CC3}"/>
            </c:ext>
          </c:extLst>
        </c:ser>
        <c:ser>
          <c:idx val="1"/>
          <c:order val="1"/>
          <c:tx>
            <c:strRef>
              <c:f>graficos!$A$176</c:f>
              <c:strCache>
                <c:ptCount val="1"/>
                <c:pt idx="0">
                  <c:v>Costo Promedio KWH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graficos!$B$174:$M$174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graficos!$B$176:$M$176</c:f>
              <c:numCache>
                <c:formatCode>0.00</c:formatCode>
                <c:ptCount val="12"/>
                <c:pt idx="0">
                  <c:v>3.0381403118040091</c:v>
                </c:pt>
                <c:pt idx="1">
                  <c:v>3.2319763138415989</c:v>
                </c:pt>
                <c:pt idx="2">
                  <c:v>3.0464214214214214</c:v>
                </c:pt>
                <c:pt idx="3">
                  <c:v>3.0358584659225838</c:v>
                </c:pt>
                <c:pt idx="4">
                  <c:v>2.8948511166253104</c:v>
                </c:pt>
                <c:pt idx="5">
                  <c:v>2.9385277563182872</c:v>
                </c:pt>
                <c:pt idx="6">
                  <c:v>3.1016004742145822</c:v>
                </c:pt>
                <c:pt idx="7">
                  <c:v>3.0640701847667153</c:v>
                </c:pt>
                <c:pt idx="8">
                  <c:v>3.3003305288461537</c:v>
                </c:pt>
                <c:pt idx="9">
                  <c:v>3.4122944960686206</c:v>
                </c:pt>
                <c:pt idx="10">
                  <c:v>3.4651196945219565</c:v>
                </c:pt>
                <c:pt idx="11">
                  <c:v>3.3622772576260949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B-4D59-A910-99A0DA9C4CC3}"/>
            </c:ext>
          </c:extLst>
        </c:ser>
        <c:ser>
          <c:idx val="2"/>
          <c:order val="2"/>
          <c:tx>
            <c:strRef>
              <c:f>graficos!$A$177</c:f>
              <c:strCache>
                <c:ptCount val="1"/>
                <c:pt idx="0">
                  <c:v>KWH por m3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blipFill>
                <a:blip xmlns:r="http://schemas.openxmlformats.org/officeDocument/2006/relationships" r:embed="rId3"/>
                <a:tile tx="0" ty="0" sx="100000" sy="100000" flip="none" algn="tl"/>
              </a:blip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graficos!$B$174:$M$174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graficos!$B$177:$M$177</c:f>
              <c:numCache>
                <c:formatCode>0.00</c:formatCode>
                <c:ptCount val="12"/>
                <c:pt idx="0">
                  <c:v>0.29760967728572019</c:v>
                </c:pt>
                <c:pt idx="1">
                  <c:v>0.26690110237464931</c:v>
                </c:pt>
                <c:pt idx="2">
                  <c:v>0.26535626535626533</c:v>
                </c:pt>
                <c:pt idx="3">
                  <c:v>0.26929717976593975</c:v>
                </c:pt>
                <c:pt idx="4">
                  <c:v>0.29606048547552727</c:v>
                </c:pt>
                <c:pt idx="5">
                  <c:v>0.35218439054726369</c:v>
                </c:pt>
                <c:pt idx="6">
                  <c:v>0.28993228611693533</c:v>
                </c:pt>
                <c:pt idx="7">
                  <c:v>0.28981431543262193</c:v>
                </c:pt>
                <c:pt idx="8">
                  <c:v>0.26502090384232529</c:v>
                </c:pt>
                <c:pt idx="9">
                  <c:v>0.27147126169131058</c:v>
                </c:pt>
                <c:pt idx="10">
                  <c:v>0.27572383073496659</c:v>
                </c:pt>
                <c:pt idx="11">
                  <c:v>0.27903252991741107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AB-4D59-A910-99A0DA9C4C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589056"/>
        <c:axId val="90590592"/>
      </c:lineChart>
      <c:catAx>
        <c:axId val="9058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590592"/>
        <c:crosses val="autoZero"/>
        <c:auto val="1"/>
        <c:lblAlgn val="ctr"/>
        <c:lblOffset val="100"/>
        <c:noMultiLvlLbl val="0"/>
      </c:catAx>
      <c:valAx>
        <c:axId val="90590592"/>
        <c:scaling>
          <c:orientation val="minMax"/>
          <c:min val="0.30000000000000032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58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370757315659128E-2"/>
          <c:y val="0.90455128748170954"/>
          <c:w val="0.68981891461734468"/>
          <c:h val="7.0644124872721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graficos!$A$201</c:f>
              <c:strCache>
                <c:ptCount val="1"/>
                <c:pt idx="0">
                  <c:v>Precio Venta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graficos!$B$200:$M$200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graficos!$B$201:$M$201</c:f>
              <c:numCache>
                <c:formatCode>#,##0.00</c:formatCode>
                <c:ptCount val="12"/>
                <c:pt idx="0">
                  <c:v>7.7190263425376937</c:v>
                </c:pt>
                <c:pt idx="1">
                  <c:v>8.6791146848602985</c:v>
                </c:pt>
                <c:pt idx="2">
                  <c:v>7.9582415983064312</c:v>
                </c:pt>
                <c:pt idx="3">
                  <c:v>8.1791903328179671</c:v>
                </c:pt>
                <c:pt idx="4">
                  <c:v>8.7161911150293232</c:v>
                </c:pt>
                <c:pt idx="5">
                  <c:v>8.5281618068559624</c:v>
                </c:pt>
                <c:pt idx="6">
                  <c:v>8.3858869112483347</c:v>
                </c:pt>
                <c:pt idx="7">
                  <c:v>8.6700977434536011</c:v>
                </c:pt>
                <c:pt idx="8">
                  <c:v>11.038612816106063</c:v>
                </c:pt>
                <c:pt idx="9">
                  <c:v>11.814160431338028</c:v>
                </c:pt>
                <c:pt idx="10">
                  <c:v>11.954608217088058</c:v>
                </c:pt>
                <c:pt idx="11">
                  <c:v>8.7749722664144123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8-4041-90B1-D9809104D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16864"/>
        <c:axId val="90535040"/>
      </c:barChart>
      <c:lineChart>
        <c:grouping val="standard"/>
        <c:varyColors val="0"/>
        <c:ser>
          <c:idx val="1"/>
          <c:order val="1"/>
          <c:tx>
            <c:strRef>
              <c:f>graficos!$A$202</c:f>
              <c:strCache>
                <c:ptCount val="1"/>
                <c:pt idx="0">
                  <c:v>Costo c/ Operación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graficos!$B$200:$M$200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graficos!$B$202:$M$202</c:f>
              <c:numCache>
                <c:formatCode>#,##0.00</c:formatCode>
                <c:ptCount val="12"/>
                <c:pt idx="0">
                  <c:v>4.4337250921744893</c:v>
                </c:pt>
                <c:pt idx="1">
                  <c:v>7.0616140503378251</c:v>
                </c:pt>
                <c:pt idx="2">
                  <c:v>4.4530719171259712</c:v>
                </c:pt>
                <c:pt idx="3">
                  <c:v>5.47385911619876</c:v>
                </c:pt>
                <c:pt idx="4">
                  <c:v>4.7012366463619939</c:v>
                </c:pt>
                <c:pt idx="5">
                  <c:v>5.7445203669154239</c:v>
                </c:pt>
                <c:pt idx="6">
                  <c:v>5.2944460866875191</c:v>
                </c:pt>
                <c:pt idx="7">
                  <c:v>6.7094726096001231</c:v>
                </c:pt>
                <c:pt idx="8">
                  <c:v>6.2912976308978683</c:v>
                </c:pt>
                <c:pt idx="9">
                  <c:v>9.1500294950906191</c:v>
                </c:pt>
                <c:pt idx="10">
                  <c:v>13.449821016400081</c:v>
                </c:pt>
                <c:pt idx="11">
                  <c:v>12.422031012978255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F8-4041-90B1-D9809104D126}"/>
            </c:ext>
          </c:extLst>
        </c:ser>
        <c:ser>
          <c:idx val="2"/>
          <c:order val="2"/>
          <c:tx>
            <c:strRef>
              <c:f>graficos!$A$203</c:f>
              <c:strCache>
                <c:ptCount val="1"/>
                <c:pt idx="0">
                  <c:v>Costo c/ Inversión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graficos!$B$200:$M$200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graficos!$B$203:$M$203</c:f>
              <c:numCache>
                <c:formatCode>#,##0.00</c:formatCode>
                <c:ptCount val="12"/>
                <c:pt idx="0">
                  <c:v>4.4337250921744893</c:v>
                </c:pt>
                <c:pt idx="1">
                  <c:v>7.0616140503378251</c:v>
                </c:pt>
                <c:pt idx="2">
                  <c:v>4.4530719171259712</c:v>
                </c:pt>
                <c:pt idx="3">
                  <c:v>5.47385911619876</c:v>
                </c:pt>
                <c:pt idx="4">
                  <c:v>4.7012366463619939</c:v>
                </c:pt>
                <c:pt idx="5">
                  <c:v>5.7445203669154239</c:v>
                </c:pt>
                <c:pt idx="6">
                  <c:v>5.2944460866875191</c:v>
                </c:pt>
                <c:pt idx="7">
                  <c:v>6.7094726096001231</c:v>
                </c:pt>
                <c:pt idx="8">
                  <c:v>6.2912976308978683</c:v>
                </c:pt>
                <c:pt idx="9">
                  <c:v>9.1500294950906191</c:v>
                </c:pt>
                <c:pt idx="10">
                  <c:v>13.449821016400081</c:v>
                </c:pt>
                <c:pt idx="11">
                  <c:v>12.422031012978255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F8-4041-90B1-D9809104D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6864"/>
        <c:axId val="90535040"/>
      </c:lineChart>
      <c:catAx>
        <c:axId val="905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535040"/>
        <c:crosses val="autoZero"/>
        <c:auto val="1"/>
        <c:lblAlgn val="ctr"/>
        <c:lblOffset val="100"/>
        <c:noMultiLvlLbl val="0"/>
      </c:catAx>
      <c:valAx>
        <c:axId val="90535040"/>
        <c:scaling>
          <c:orientation val="minMax"/>
          <c:max val="2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51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8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412750</xdr:colOff>
      <xdr:row>0</xdr:row>
      <xdr:rowOff>1</xdr:rowOff>
    </xdr:from>
    <xdr:ext cx="1141943" cy="1005152"/>
    <xdr:pic>
      <xdr:nvPicPr>
        <xdr:cNvPr id="2" name="3 Imagen">
          <a:extLst>
            <a:ext uri="{FF2B5EF4-FFF2-40B4-BE49-F238E27FC236}">
              <a16:creationId xmlns:a16="http://schemas.microsoft.com/office/drawing/2014/main" id="{58097C62-9D9E-4EC8-8189-CDDCCF358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3" name="4 Imagen">
          <a:extLst>
            <a:ext uri="{FF2B5EF4-FFF2-40B4-BE49-F238E27FC236}">
              <a16:creationId xmlns:a16="http://schemas.microsoft.com/office/drawing/2014/main" id="{DB22CA2D-6D9E-4E90-8C6D-094532DDD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4" name="3 Imagen">
          <a:extLst>
            <a:ext uri="{FF2B5EF4-FFF2-40B4-BE49-F238E27FC236}">
              <a16:creationId xmlns:a16="http://schemas.microsoft.com/office/drawing/2014/main" id="{151DD97F-1B0C-4E53-BC03-9B46FEA3F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412750</xdr:colOff>
      <xdr:row>0</xdr:row>
      <xdr:rowOff>1</xdr:rowOff>
    </xdr:from>
    <xdr:ext cx="1141943" cy="1005152"/>
    <xdr:pic>
      <xdr:nvPicPr>
        <xdr:cNvPr id="5" name="3 Imagen">
          <a:extLst>
            <a:ext uri="{FF2B5EF4-FFF2-40B4-BE49-F238E27FC236}">
              <a16:creationId xmlns:a16="http://schemas.microsoft.com/office/drawing/2014/main" id="{3A07E8F3-F377-4DFB-AA66-F3823042C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9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6" name="4 Imagen">
          <a:extLst>
            <a:ext uri="{FF2B5EF4-FFF2-40B4-BE49-F238E27FC236}">
              <a16:creationId xmlns:a16="http://schemas.microsoft.com/office/drawing/2014/main" id="{C2380228-5CFF-4311-B8CF-8C1F7D2A0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7" name="3 Imagen">
          <a:extLst>
            <a:ext uri="{FF2B5EF4-FFF2-40B4-BE49-F238E27FC236}">
              <a16:creationId xmlns:a16="http://schemas.microsoft.com/office/drawing/2014/main" id="{41657A83-0D26-477A-9BD2-A31A66550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0456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730520</xdr:colOff>
      <xdr:row>209</xdr:row>
      <xdr:rowOff>179833</xdr:rowOff>
    </xdr:from>
    <xdr:to>
      <xdr:col>5</xdr:col>
      <xdr:colOff>300103</xdr:colOff>
      <xdr:row>213</xdr:row>
      <xdr:rowOff>128514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8DFE5543-2F35-4B6F-B684-A02856134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42" r="7860" b="33900"/>
        <a:stretch>
          <a:fillRect/>
        </a:stretch>
      </xdr:blipFill>
      <xdr:spPr bwMode="auto">
        <a:xfrm>
          <a:off x="6771719" y="41515723"/>
          <a:ext cx="1761637" cy="731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855849</xdr:colOff>
      <xdr:row>209</xdr:row>
      <xdr:rowOff>157374</xdr:rowOff>
    </xdr:from>
    <xdr:to>
      <xdr:col>8</xdr:col>
      <xdr:colOff>313151</xdr:colOff>
      <xdr:row>215</xdr:row>
      <xdr:rowOff>64344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9673A68-309D-41F0-A107-686BA27A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8178" y="41493264"/>
          <a:ext cx="1610213" cy="1081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0</xdr:rowOff>
    </xdr:from>
    <xdr:to>
      <xdr:col>14</xdr:col>
      <xdr:colOff>306763</xdr:colOff>
      <xdr:row>3</xdr:row>
      <xdr:rowOff>148500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577F9A-C9DA-4369-9193-48ED1F281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4475" y="0"/>
          <a:ext cx="208793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78562</xdr:colOff>
      <xdr:row>0</xdr:row>
      <xdr:rowOff>0</xdr:rowOff>
    </xdr:from>
    <xdr:to>
      <xdr:col>2</xdr:col>
      <xdr:colOff>355957</xdr:colOff>
      <xdr:row>3</xdr:row>
      <xdr:rowOff>148500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CE6542-982F-4A47-976C-A534A1B8B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" y="0"/>
          <a:ext cx="2230020" cy="72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</xdr:colOff>
      <xdr:row>0</xdr:row>
      <xdr:rowOff>0</xdr:rowOff>
    </xdr:from>
    <xdr:to>
      <xdr:col>14</xdr:col>
      <xdr:colOff>306763</xdr:colOff>
      <xdr:row>3</xdr:row>
      <xdr:rowOff>148500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7FDC6F4-B18F-465A-AAEB-DCD97DDB4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4475" y="0"/>
          <a:ext cx="208793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78562</xdr:colOff>
      <xdr:row>0</xdr:row>
      <xdr:rowOff>0</xdr:rowOff>
    </xdr:from>
    <xdr:to>
      <xdr:col>2</xdr:col>
      <xdr:colOff>355957</xdr:colOff>
      <xdr:row>3</xdr:row>
      <xdr:rowOff>148500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68D503D-11D2-4AB5-895D-1B8898172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" y="0"/>
          <a:ext cx="2230020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5</xdr:row>
      <xdr:rowOff>133350</xdr:rowOff>
    </xdr:from>
    <xdr:to>
      <xdr:col>9</xdr:col>
      <xdr:colOff>457200</xdr:colOff>
      <xdr:row>20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F4F4EFD-F433-4B88-8185-721A760F4D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600075</xdr:colOff>
      <xdr:row>26</xdr:row>
      <xdr:rowOff>9525</xdr:rowOff>
    </xdr:from>
    <xdr:to>
      <xdr:col>10</xdr:col>
      <xdr:colOff>95250</xdr:colOff>
      <xdr:row>42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3E87D7C-A7F9-495C-94AD-1B372A468A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561975</xdr:colOff>
      <xdr:row>49</xdr:row>
      <xdr:rowOff>119062</xdr:rowOff>
    </xdr:from>
    <xdr:to>
      <xdr:col>9</xdr:col>
      <xdr:colOff>561975</xdr:colOff>
      <xdr:row>64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7666302-81D7-48D9-BCEE-28893A6292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23812</xdr:colOff>
      <xdr:row>71</xdr:row>
      <xdr:rowOff>161924</xdr:rowOff>
    </xdr:from>
    <xdr:to>
      <xdr:col>10</xdr:col>
      <xdr:colOff>552450</xdr:colOff>
      <xdr:row>88</xdr:row>
      <xdr:rowOff>114299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22F8B9B-1318-4B35-9823-402CC60CCB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833437</xdr:colOff>
      <xdr:row>99</xdr:row>
      <xdr:rowOff>52387</xdr:rowOff>
    </xdr:from>
    <xdr:to>
      <xdr:col>10</xdr:col>
      <xdr:colOff>319087</xdr:colOff>
      <xdr:row>113</xdr:row>
      <xdr:rowOff>128587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07BE45C-34BC-4084-96CC-84979F1DC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633412</xdr:colOff>
      <xdr:row>121</xdr:row>
      <xdr:rowOff>176211</xdr:rowOff>
    </xdr:from>
    <xdr:to>
      <xdr:col>10</xdr:col>
      <xdr:colOff>295275</xdr:colOff>
      <xdr:row>138</xdr:row>
      <xdr:rowOff>161924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15F8A444-7677-457C-86FD-6125BD2512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52387</xdr:colOff>
      <xdr:row>150</xdr:row>
      <xdr:rowOff>4761</xdr:rowOff>
    </xdr:from>
    <xdr:to>
      <xdr:col>9</xdr:col>
      <xdr:colOff>657225</xdr:colOff>
      <xdr:row>166</xdr:row>
      <xdr:rowOff>142874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FA6E24C2-A7D8-4AB9-9159-B5CA3EC654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766761</xdr:colOff>
      <xdr:row>178</xdr:row>
      <xdr:rowOff>80961</xdr:rowOff>
    </xdr:from>
    <xdr:to>
      <xdr:col>11</xdr:col>
      <xdr:colOff>285749</xdr:colOff>
      <xdr:row>194</xdr:row>
      <xdr:rowOff>66674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F062E248-D936-4CE4-BB76-F6CB6B6CA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206</xdr:row>
      <xdr:rowOff>66675</xdr:rowOff>
    </xdr:from>
    <xdr:to>
      <xdr:col>10</xdr:col>
      <xdr:colOff>609600</xdr:colOff>
      <xdr:row>224</xdr:row>
      <xdr:rowOff>28574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8E72CC3D-107A-4489-9B71-5E6EEF83CB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10</xdr:col>
      <xdr:colOff>433014</xdr:colOff>
      <xdr:row>79</xdr:row>
      <xdr:rowOff>161926</xdr:rowOff>
    </xdr:from>
    <xdr:to>
      <xdr:col>11</xdr:col>
      <xdr:colOff>283161</xdr:colOff>
      <xdr:row>82</xdr:row>
      <xdr:rowOff>66676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A9AA1CC1-0492-4E33-B8D1-AD131FB08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824539" y="15401926"/>
          <a:ext cx="697872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0.01951</cdr:x>
      <cdr:y>0.56716</cdr:y>
    </cdr:from>
    <cdr:to>
      <cdr:x>0.96438</cdr:x>
      <cdr:y>0.57612</cdr:y>
    </cdr:to>
    <cdr:cxnSp macro="">
      <cdr:nvCxnSpPr>
        <cdr:cNvPr id="5" name="Conector recto 4">
          <a:extLst xmlns:a="http://schemas.openxmlformats.org/drawingml/2006/main">
            <a:ext uri="{FF2B5EF4-FFF2-40B4-BE49-F238E27FC236}">
              <a16:creationId xmlns:a16="http://schemas.microsoft.com/office/drawing/2014/main" id="{92BCE3DF-BC7C-40F3-B809-CD64D7C0119D}"/>
            </a:ext>
          </a:extLst>
        </cdr:cNvPr>
        <cdr:cNvCxnSpPr/>
      </cdr:nvCxnSpPr>
      <cdr:spPr>
        <a:xfrm xmlns:a="http://schemas.openxmlformats.org/drawingml/2006/main" flipV="1">
          <a:off x="109538" y="1809751"/>
          <a:ext cx="5305425" cy="285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0.02092</cdr:x>
      <cdr:y>0.60697</cdr:y>
    </cdr:from>
    <cdr:to>
      <cdr:x>0.96579</cdr:x>
      <cdr:y>0.61592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1BE8B9C2-2DBB-4EE3-93DC-AA6DDAF1CD1B}"/>
            </a:ext>
          </a:extLst>
        </cdr:cNvPr>
        <cdr:cNvCxnSpPr/>
      </cdr:nvCxnSpPr>
      <cdr:spPr>
        <a:xfrm xmlns:a="http://schemas.openxmlformats.org/drawingml/2006/main" flipV="1">
          <a:off x="117475" y="1936750"/>
          <a:ext cx="5305425" cy="285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1%20JMAS%20CHIHUAHUAvint.RESUMEN%20PARA%20CAPTURA%20SIST%20CONTA%20ING%20VILLALBA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llaLopez/Desktop/ESTADOS%20FINANCIEROS%202022/OCTUBRE%202022/PIGO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llaLopez/Desktop/Nueva%20carpeta/ESTADOS%20FINANCIEROS%202022/DICIEMBRE%202022/ESTADOS%20FINANCIEROS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rametros"/>
      <sheetName val="Inflación"/>
      <sheetName val="Efic. Global "/>
      <sheetName val="C.N.A."/>
      <sheetName val="Evaluacion"/>
      <sheetName val="Total ctas."/>
      <sheetName val="Concen."/>
      <sheetName val="Edo. Activ."/>
      <sheetName val="Fac-cob"/>
      <sheetName val="RESUMEN GASTOS"/>
      <sheetName val="Gastos de Admin."/>
      <sheetName val="Gastos de Comer."/>
      <sheetName val="Gastos de Oper."/>
      <sheetName val="Gastos de Saneam."/>
      <sheetName val="Inversiones"/>
      <sheetName val="Creditos"/>
      <sheetName val="Ingresos"/>
      <sheetName val="Serv. Med. Dom"/>
      <sheetName val="Tarifas serv med Dom"/>
      <sheetName val="Serv. Med. Com"/>
      <sheetName val="Tarifas serv med Com"/>
      <sheetName val="Serv. Med. ind"/>
      <sheetName val="Tarifas serv med ind"/>
      <sheetName val="Serv. Med. Esc"/>
      <sheetName val="Serv. Med. Pub"/>
      <sheetName val="Cuota fij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Personal"/>
      <sheetName val="Activos U"/>
      <sheetName val="Activos 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4">
          <cell r="H234">
            <v>152009798.40846276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GOO"/>
      <sheetName val="INDICADORES"/>
      <sheetName val="graficos"/>
      <sheetName val="INSTRUCTIVO"/>
    </sheetNames>
    <sheetDataSet>
      <sheetData sheetId="0"/>
      <sheetData sheetId="1">
        <row r="188"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ON 2022"/>
      <sheetName val="SITUACION FINANCIERA"/>
      <sheetName val="ESTADO DE RESULTADOS 2022"/>
      <sheetName val="FORMATO 5%"/>
      <sheetName val="PIGOO DICIEMBRE 202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M11">
            <v>213676.81</v>
          </cell>
        </row>
        <row r="12">
          <cell r="M12">
            <v>213676.81</v>
          </cell>
        </row>
        <row r="13">
          <cell r="M13">
            <v>213676.81</v>
          </cell>
        </row>
        <row r="14">
          <cell r="M14">
            <v>213587.06</v>
          </cell>
        </row>
        <row r="15">
          <cell r="M15">
            <v>89.75</v>
          </cell>
        </row>
        <row r="21">
          <cell r="M21">
            <v>294799.63999999996</v>
          </cell>
        </row>
        <row r="22">
          <cell r="M22">
            <v>294799.63999999996</v>
          </cell>
        </row>
        <row r="23">
          <cell r="M23">
            <v>128717.61</v>
          </cell>
        </row>
        <row r="24">
          <cell r="M24">
            <v>121936.37</v>
          </cell>
        </row>
        <row r="25">
          <cell r="M25">
            <v>44145.659999999996</v>
          </cell>
        </row>
        <row r="26">
          <cell r="M26">
            <v>23617.43</v>
          </cell>
        </row>
        <row r="27">
          <cell r="M27">
            <v>10679.35</v>
          </cell>
        </row>
        <row r="28">
          <cell r="M28">
            <v>0</v>
          </cell>
        </row>
        <row r="29">
          <cell r="M29">
            <v>9848.8799999999992</v>
          </cell>
        </row>
        <row r="30">
          <cell r="M30">
            <v>0</v>
          </cell>
        </row>
        <row r="32">
          <cell r="M32">
            <v>-91802.18</v>
          </cell>
        </row>
        <row r="34">
          <cell r="M34">
            <v>0</v>
          </cell>
        </row>
        <row r="38">
          <cell r="M38">
            <v>-91802.18</v>
          </cell>
        </row>
        <row r="41">
          <cell r="M41">
            <v>978827.67</v>
          </cell>
        </row>
        <row r="42">
          <cell r="M42">
            <v>978827.67</v>
          </cell>
        </row>
        <row r="43">
          <cell r="M43">
            <v>0</v>
          </cell>
        </row>
        <row r="45">
          <cell r="M45">
            <v>1612523.28</v>
          </cell>
        </row>
        <row r="46">
          <cell r="M46">
            <v>8050998.4400000004</v>
          </cell>
        </row>
        <row r="47">
          <cell r="M47">
            <v>294711.95</v>
          </cell>
        </row>
        <row r="48">
          <cell r="M48">
            <v>8050998.4400000004</v>
          </cell>
        </row>
        <row r="51">
          <cell r="M51">
            <v>6622</v>
          </cell>
        </row>
        <row r="52">
          <cell r="M52">
            <v>6622</v>
          </cell>
        </row>
        <row r="56">
          <cell r="M56">
            <v>22265</v>
          </cell>
        </row>
        <row r="57">
          <cell r="M57">
            <v>22265</v>
          </cell>
        </row>
        <row r="65">
          <cell r="M65">
            <v>23732</v>
          </cell>
        </row>
        <row r="66">
          <cell r="M66">
            <v>23732</v>
          </cell>
        </row>
        <row r="71">
          <cell r="M71">
            <v>23257</v>
          </cell>
        </row>
        <row r="72">
          <cell r="M72">
            <v>21905</v>
          </cell>
        </row>
        <row r="73">
          <cell r="M73">
            <v>452</v>
          </cell>
        </row>
        <row r="74">
          <cell r="M74">
            <v>5</v>
          </cell>
        </row>
        <row r="75">
          <cell r="M75">
            <v>0</v>
          </cell>
        </row>
        <row r="76">
          <cell r="M76">
            <v>895</v>
          </cell>
        </row>
        <row r="79">
          <cell r="M79">
            <v>12517</v>
          </cell>
        </row>
        <row r="80">
          <cell r="M80">
            <v>9206</v>
          </cell>
        </row>
        <row r="81">
          <cell r="M81">
            <v>3311</v>
          </cell>
        </row>
        <row r="88">
          <cell r="M88">
            <v>0</v>
          </cell>
        </row>
        <row r="89">
          <cell r="M89">
            <v>0</v>
          </cell>
        </row>
        <row r="92">
          <cell r="M92">
            <v>204079.53</v>
          </cell>
        </row>
        <row r="93">
          <cell r="M93">
            <v>166084.63</v>
          </cell>
        </row>
        <row r="94">
          <cell r="M94">
            <v>10901.27</v>
          </cell>
        </row>
        <row r="95">
          <cell r="M95">
            <v>365.23</v>
          </cell>
        </row>
        <row r="96">
          <cell r="M96">
            <v>1476.9</v>
          </cell>
        </row>
        <row r="97">
          <cell r="M97">
            <v>25251.5</v>
          </cell>
        </row>
        <row r="99">
          <cell r="M99">
            <v>185224.82</v>
          </cell>
        </row>
        <row r="100">
          <cell r="M100">
            <v>142600.76</v>
          </cell>
        </row>
        <row r="101">
          <cell r="M101">
            <v>7984.36</v>
          </cell>
        </row>
        <row r="102">
          <cell r="M102">
            <v>723.91</v>
          </cell>
        </row>
        <row r="104">
          <cell r="M104">
            <v>33915.79</v>
          </cell>
        </row>
        <row r="111">
          <cell r="M111">
            <v>1096</v>
          </cell>
        </row>
        <row r="112">
          <cell r="M112">
            <v>393</v>
          </cell>
        </row>
        <row r="113">
          <cell r="M113">
            <v>312</v>
          </cell>
        </row>
        <row r="114">
          <cell r="M114">
            <v>46</v>
          </cell>
        </row>
        <row r="115">
          <cell r="M115">
            <v>1</v>
          </cell>
        </row>
        <row r="116">
          <cell r="M116">
            <v>5</v>
          </cell>
        </row>
        <row r="117">
          <cell r="M117">
            <v>29</v>
          </cell>
        </row>
        <row r="118">
          <cell r="M118">
            <v>703</v>
          </cell>
        </row>
        <row r="119">
          <cell r="M119">
            <v>697</v>
          </cell>
        </row>
        <row r="120">
          <cell r="M120">
            <v>4</v>
          </cell>
        </row>
        <row r="121">
          <cell r="M121">
            <v>1</v>
          </cell>
        </row>
        <row r="123">
          <cell r="M123">
            <v>1</v>
          </cell>
        </row>
        <row r="124">
          <cell r="M124">
            <v>90</v>
          </cell>
        </row>
        <row r="126">
          <cell r="M126">
            <v>1159</v>
          </cell>
        </row>
        <row r="127">
          <cell r="M127">
            <v>1.0574817518248176</v>
          </cell>
        </row>
        <row r="130">
          <cell r="M130">
            <v>373741.25</v>
          </cell>
        </row>
        <row r="131">
          <cell r="M131">
            <v>244994.69</v>
          </cell>
        </row>
        <row r="132">
          <cell r="M132">
            <v>226596.02</v>
          </cell>
        </row>
        <row r="133">
          <cell r="M133">
            <v>17893.439999999999</v>
          </cell>
        </row>
        <row r="134">
          <cell r="M134">
            <v>505.23</v>
          </cell>
        </row>
        <row r="135">
          <cell r="M135">
            <v>128428.18</v>
          </cell>
        </row>
        <row r="136">
          <cell r="M136">
            <v>318.38</v>
          </cell>
        </row>
        <row r="138">
          <cell r="M138">
            <v>251</v>
          </cell>
        </row>
        <row r="139">
          <cell r="M139">
            <v>192</v>
          </cell>
        </row>
        <row r="140">
          <cell r="M140">
            <v>23</v>
          </cell>
        </row>
        <row r="141">
          <cell r="M141">
            <v>28</v>
          </cell>
        </row>
        <row r="142">
          <cell r="M142">
            <v>8</v>
          </cell>
        </row>
        <row r="152">
          <cell r="M152">
            <v>0.91</v>
          </cell>
        </row>
        <row r="153">
          <cell r="M153">
            <v>2088</v>
          </cell>
        </row>
        <row r="154">
          <cell r="M154">
            <v>2088</v>
          </cell>
        </row>
        <row r="155">
          <cell r="M155">
            <v>2088</v>
          </cell>
        </row>
        <row r="156">
          <cell r="M156">
            <v>1</v>
          </cell>
        </row>
        <row r="157">
          <cell r="M157">
            <v>2088</v>
          </cell>
        </row>
        <row r="158">
          <cell r="M158">
            <v>581</v>
          </cell>
        </row>
        <row r="159">
          <cell r="M159">
            <v>242</v>
          </cell>
        </row>
        <row r="167">
          <cell r="M167">
            <v>0</v>
          </cell>
        </row>
        <row r="171">
          <cell r="M171">
            <v>2</v>
          </cell>
        </row>
        <row r="172">
          <cell r="M172">
            <v>2</v>
          </cell>
        </row>
        <row r="173">
          <cell r="M173">
            <v>3</v>
          </cell>
        </row>
        <row r="174">
          <cell r="M174">
            <v>3</v>
          </cell>
        </row>
        <row r="179">
          <cell r="M179">
            <v>2</v>
          </cell>
        </row>
        <row r="181">
          <cell r="M181">
            <v>2</v>
          </cell>
        </row>
        <row r="186">
          <cell r="M186">
            <v>5</v>
          </cell>
        </row>
        <row r="187">
          <cell r="M187">
            <v>3</v>
          </cell>
        </row>
        <row r="191">
          <cell r="M191">
            <v>2</v>
          </cell>
        </row>
        <row r="197">
          <cell r="M197">
            <v>2</v>
          </cell>
        </row>
        <row r="198">
          <cell r="M198">
            <v>6</v>
          </cell>
        </row>
        <row r="199">
          <cell r="M199">
            <v>6</v>
          </cell>
        </row>
        <row r="200">
          <cell r="M200">
            <v>0</v>
          </cell>
        </row>
        <row r="201">
          <cell r="M201">
            <v>5</v>
          </cell>
        </row>
        <row r="202">
          <cell r="M202">
            <v>5</v>
          </cell>
        </row>
        <row r="203">
          <cell r="M203">
            <v>1188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212"/>
  <sheetViews>
    <sheetView tabSelected="1" topLeftCell="D1" zoomScale="73" zoomScaleNormal="73" workbookViewId="0">
      <pane ySplit="10" topLeftCell="A11" activePane="bottomLeft" state="frozen"/>
      <selection pane="bottomLeft" activeCell="D1" sqref="A1:XFD1048576"/>
    </sheetView>
  </sheetViews>
  <sheetFormatPr baseColWidth="10" defaultRowHeight="15" x14ac:dyDescent="0.25"/>
  <cols>
    <col min="1" max="1" width="54.7109375" style="370" customWidth="1"/>
    <col min="2" max="2" width="15.85546875" style="359" customWidth="1"/>
    <col min="3" max="3" width="20" style="370" bestFit="1" customWidth="1"/>
    <col min="4" max="4" width="16.7109375" style="370" customWidth="1"/>
    <col min="5" max="5" width="16.28515625" style="370" customWidth="1"/>
    <col min="6" max="7" width="16.7109375" style="370" customWidth="1"/>
    <col min="8" max="8" width="15.7109375" style="370" customWidth="1"/>
    <col min="9" max="9" width="20.5703125" style="370" customWidth="1"/>
    <col min="10" max="11" width="20" style="370" bestFit="1" customWidth="1"/>
    <col min="12" max="12" width="20.5703125" style="370" customWidth="1"/>
    <col min="13" max="13" width="20" style="370" bestFit="1" customWidth="1"/>
    <col min="14" max="14" width="20.5703125" style="370" bestFit="1" customWidth="1"/>
    <col min="15" max="15" width="19.42578125" style="370" bestFit="1" customWidth="1"/>
    <col min="16" max="16" width="27.28515625" style="370" customWidth="1"/>
    <col min="17" max="17" width="18.85546875" style="370" customWidth="1"/>
    <col min="18" max="18" width="9.28515625" style="371" customWidth="1"/>
    <col min="19" max="19" width="4.140625" style="422" customWidth="1"/>
    <col min="20" max="20" width="22" style="422" customWidth="1"/>
    <col min="21" max="21" width="21.28515625" style="422" customWidth="1"/>
    <col min="22" max="22" width="11.42578125" style="422" customWidth="1"/>
    <col min="23" max="16384" width="11.42578125" style="422"/>
  </cols>
  <sheetData>
    <row r="1" spans="1:19" ht="20.25" x14ac:dyDescent="0.3">
      <c r="A1" s="432" t="s">
        <v>326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</row>
    <row r="2" spans="1:19" x14ac:dyDescent="0.2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</row>
    <row r="3" spans="1:19" ht="18" x14ac:dyDescent="0.25">
      <c r="A3" s="433" t="s">
        <v>124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</row>
    <row r="4" spans="1:19" ht="15.75" x14ac:dyDescent="0.25">
      <c r="A4" s="434" t="s">
        <v>327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</row>
    <row r="5" spans="1:19" x14ac:dyDescent="0.25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</row>
    <row r="6" spans="1:19" ht="8.25" customHeight="1" x14ac:dyDescent="0.25">
      <c r="A6" s="435"/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</row>
    <row r="7" spans="1:19" ht="8.25" customHeight="1" x14ac:dyDescent="0.25">
      <c r="A7" s="434"/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</row>
    <row r="8" spans="1:19" ht="15.75" x14ac:dyDescent="0.25">
      <c r="A8" s="269"/>
      <c r="B8" s="421"/>
      <c r="C8" s="270">
        <v>2</v>
      </c>
      <c r="D8" s="270">
        <v>0</v>
      </c>
      <c r="E8" s="270">
        <v>0</v>
      </c>
      <c r="F8" s="270">
        <v>0</v>
      </c>
      <c r="G8" s="270">
        <v>0</v>
      </c>
      <c r="H8" s="270">
        <v>0</v>
      </c>
      <c r="I8" s="270">
        <v>0</v>
      </c>
      <c r="J8" s="270">
        <v>0</v>
      </c>
      <c r="K8" s="270">
        <v>0</v>
      </c>
      <c r="L8" s="270">
        <v>0</v>
      </c>
      <c r="M8" s="270">
        <v>0</v>
      </c>
      <c r="N8" s="271"/>
      <c r="O8" s="271"/>
      <c r="P8" s="271"/>
      <c r="Q8" s="271"/>
      <c r="R8" s="272"/>
    </row>
    <row r="9" spans="1:19" ht="31.5" x14ac:dyDescent="0.25">
      <c r="A9" s="273" t="s">
        <v>125</v>
      </c>
      <c r="B9" s="274" t="s">
        <v>126</v>
      </c>
      <c r="C9" s="274" t="s">
        <v>127</v>
      </c>
      <c r="D9" s="274" t="s">
        <v>128</v>
      </c>
      <c r="E9" s="274" t="s">
        <v>129</v>
      </c>
      <c r="F9" s="274" t="s">
        <v>130</v>
      </c>
      <c r="G9" s="274" t="s">
        <v>131</v>
      </c>
      <c r="H9" s="274" t="s">
        <v>132</v>
      </c>
      <c r="I9" s="274" t="s">
        <v>133</v>
      </c>
      <c r="J9" s="274" t="s">
        <v>134</v>
      </c>
      <c r="K9" s="274" t="s">
        <v>135</v>
      </c>
      <c r="L9" s="274" t="s">
        <v>136</v>
      </c>
      <c r="M9" s="274" t="s">
        <v>137</v>
      </c>
      <c r="N9" s="274" t="s">
        <v>138</v>
      </c>
      <c r="O9" s="274" t="s">
        <v>139</v>
      </c>
      <c r="P9" s="274" t="s">
        <v>140</v>
      </c>
      <c r="Q9" s="274" t="s">
        <v>141</v>
      </c>
      <c r="R9" s="275" t="s">
        <v>142</v>
      </c>
    </row>
    <row r="10" spans="1:19" ht="15.75" x14ac:dyDescent="0.25">
      <c r="A10" s="276" t="s">
        <v>143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8"/>
    </row>
    <row r="11" spans="1:19" ht="15.75" x14ac:dyDescent="0.25">
      <c r="A11" s="279" t="s">
        <v>144</v>
      </c>
      <c r="B11" s="280">
        <f>+B12+B19</f>
        <v>383400.19999999995</v>
      </c>
      <c r="C11" s="280">
        <f t="shared" ref="C11" si="0">+C12+C19</f>
        <v>186498.52</v>
      </c>
      <c r="D11" s="280">
        <f>+D12+G18</f>
        <v>238217.13999999998</v>
      </c>
      <c r="E11" s="280">
        <f>+E12+H18</f>
        <v>213822.04</v>
      </c>
      <c r="F11" s="280">
        <f>+F12+F19</f>
        <v>180768.46000000002</v>
      </c>
      <c r="G11" s="280">
        <f>+G12+G18+G19</f>
        <v>380649.66</v>
      </c>
      <c r="H11" s="280">
        <f t="shared" ref="H11:L11" si="1">+H12+H19</f>
        <v>185067.32</v>
      </c>
      <c r="I11" s="280">
        <f t="shared" si="1"/>
        <v>192239.91999999998</v>
      </c>
      <c r="J11" s="280">
        <f t="shared" si="1"/>
        <v>127667.22</v>
      </c>
      <c r="K11" s="280">
        <f t="shared" si="1"/>
        <v>190025.21999999997</v>
      </c>
      <c r="L11" s="280">
        <f t="shared" si="1"/>
        <v>133742.29</v>
      </c>
      <c r="M11" s="280">
        <f>'[3]PIGOO DICIEMBRE 2022'!M11</f>
        <v>213676.81</v>
      </c>
      <c r="N11" s="280">
        <f t="shared" ref="N11" si="2">+N12+N18</f>
        <v>2399315.5</v>
      </c>
      <c r="O11" s="280">
        <f>+O12+O19</f>
        <v>0</v>
      </c>
      <c r="P11" s="280">
        <f t="shared" ref="P11" si="3">+P12+P19</f>
        <v>0</v>
      </c>
      <c r="Q11" s="280">
        <f>+N11-P11</f>
        <v>2399315.5</v>
      </c>
      <c r="R11" s="281" t="e">
        <f>+Q11/P11</f>
        <v>#DIV/0!</v>
      </c>
      <c r="S11" s="431">
        <f>SUM(B11:N11)</f>
        <v>5025090.3000000007</v>
      </c>
    </row>
    <row r="12" spans="1:19" x14ac:dyDescent="0.25">
      <c r="A12" s="282" t="s">
        <v>145</v>
      </c>
      <c r="B12" s="283">
        <f>B13-B16-B17</f>
        <v>374370.19999999995</v>
      </c>
      <c r="C12" s="283">
        <f>C13-C16-C17</f>
        <v>179418.52</v>
      </c>
      <c r="D12" s="283">
        <f t="shared" ref="D12:G12" si="4">+D13-D16-D17</f>
        <v>238220.56</v>
      </c>
      <c r="E12" s="283">
        <f t="shared" si="4"/>
        <v>213822.04</v>
      </c>
      <c r="F12" s="283">
        <f t="shared" si="4"/>
        <v>180413.23</v>
      </c>
      <c r="G12" s="283">
        <f t="shared" si="4"/>
        <v>170653.08</v>
      </c>
      <c r="H12" s="283">
        <f t="shared" ref="H12:L12" si="5">H13-H16-H17</f>
        <v>185065.15</v>
      </c>
      <c r="I12" s="283">
        <f t="shared" si="5"/>
        <v>192226.27</v>
      </c>
      <c r="J12" s="283">
        <f t="shared" si="5"/>
        <v>127665.3</v>
      </c>
      <c r="K12" s="283">
        <f t="shared" si="5"/>
        <v>190035.06999999998</v>
      </c>
      <c r="L12" s="283">
        <f t="shared" si="5"/>
        <v>133752.69</v>
      </c>
      <c r="M12" s="283">
        <f>'[3]PIGOO DICIEMBRE 2022'!M12</f>
        <v>213676.81</v>
      </c>
      <c r="N12" s="283">
        <f>+N13-N16-N17</f>
        <v>2399318.92</v>
      </c>
      <c r="O12" s="283">
        <f>+O13+O16+O17</f>
        <v>0</v>
      </c>
      <c r="P12" s="283">
        <f>+P13+P16+P17</f>
        <v>0</v>
      </c>
      <c r="Q12" s="283">
        <f>+N12-P12</f>
        <v>2399318.92</v>
      </c>
      <c r="R12" s="284" t="e">
        <f>+Q12/P12</f>
        <v>#DIV/0!</v>
      </c>
    </row>
    <row r="13" spans="1:19" x14ac:dyDescent="0.25">
      <c r="A13" s="285" t="s">
        <v>146</v>
      </c>
      <c r="B13" s="283">
        <f>+B14+B15</f>
        <v>374370.19999999995</v>
      </c>
      <c r="C13" s="283">
        <f>+C14+C15</f>
        <v>179418.52</v>
      </c>
      <c r="D13" s="283">
        <f t="shared" ref="D13:N13" si="6">+D14+D15</f>
        <v>238220.56</v>
      </c>
      <c r="E13" s="283">
        <f t="shared" si="6"/>
        <v>213822.04</v>
      </c>
      <c r="F13" s="283">
        <f t="shared" si="6"/>
        <v>180413.23</v>
      </c>
      <c r="G13" s="283">
        <f t="shared" si="6"/>
        <v>170653.08</v>
      </c>
      <c r="H13" s="283">
        <f t="shared" si="6"/>
        <v>185065.15</v>
      </c>
      <c r="I13" s="283">
        <f t="shared" si="6"/>
        <v>192226.27</v>
      </c>
      <c r="J13" s="283">
        <f t="shared" si="6"/>
        <v>127665.3</v>
      </c>
      <c r="K13" s="283">
        <f t="shared" si="6"/>
        <v>190035.06999999998</v>
      </c>
      <c r="L13" s="283">
        <f t="shared" si="6"/>
        <v>133752.69</v>
      </c>
      <c r="M13" s="283">
        <f>'[3]PIGOO DICIEMBRE 2022'!M13</f>
        <v>213676.81</v>
      </c>
      <c r="N13" s="283">
        <f t="shared" si="6"/>
        <v>2399318.92</v>
      </c>
      <c r="O13" s="283">
        <f>+O14+O15</f>
        <v>0</v>
      </c>
      <c r="P13" s="283">
        <f>+P14+P15</f>
        <v>0</v>
      </c>
      <c r="Q13" s="283">
        <f>+N13-P13</f>
        <v>2399318.92</v>
      </c>
      <c r="R13" s="284" t="e">
        <f>+Q13/P13</f>
        <v>#DIV/0!</v>
      </c>
    </row>
    <row r="14" spans="1:19" x14ac:dyDescent="0.25">
      <c r="A14" s="399" t="s">
        <v>147</v>
      </c>
      <c r="B14" s="286">
        <v>374098.6</v>
      </c>
      <c r="C14" s="286">
        <v>175542.78</v>
      </c>
      <c r="D14" s="286">
        <v>209587.05</v>
      </c>
      <c r="E14" s="286">
        <v>206217.04</v>
      </c>
      <c r="F14" s="286">
        <v>172533.23</v>
      </c>
      <c r="G14" s="286">
        <v>161543.07999999999</v>
      </c>
      <c r="H14" s="287">
        <v>176450.15</v>
      </c>
      <c r="I14" s="287">
        <v>183486.27</v>
      </c>
      <c r="J14" s="287">
        <v>118225.3</v>
      </c>
      <c r="K14" s="286">
        <v>189179.86</v>
      </c>
      <c r="L14" s="286">
        <v>129087.69</v>
      </c>
      <c r="M14" s="286">
        <f>'[3]PIGOO DICIEMBRE 2022'!M14</f>
        <v>213587.06</v>
      </c>
      <c r="N14" s="286">
        <f t="shared" ref="N14:N19" si="7">SUM(B14:M14)</f>
        <v>2309538.11</v>
      </c>
      <c r="O14" s="286"/>
      <c r="P14" s="286">
        <f t="shared" ref="P14:P19" si="8">+O14/12*$R$20</f>
        <v>0</v>
      </c>
      <c r="Q14" s="286">
        <f t="shared" ref="Q14:Q19" si="9">+N14-P14</f>
        <v>2309538.11</v>
      </c>
      <c r="R14" s="288" t="e">
        <f t="shared" ref="R14:R34" si="10">+Q14/P14</f>
        <v>#DIV/0!</v>
      </c>
    </row>
    <row r="15" spans="1:19" x14ac:dyDescent="0.25">
      <c r="A15" s="399" t="s">
        <v>148</v>
      </c>
      <c r="B15" s="286">
        <v>271.60000000000002</v>
      </c>
      <c r="C15" s="286">
        <v>3875.74</v>
      </c>
      <c r="D15" s="286">
        <v>28633.51</v>
      </c>
      <c r="E15" s="286">
        <v>7605</v>
      </c>
      <c r="F15" s="286">
        <v>7880</v>
      </c>
      <c r="G15" s="286">
        <v>9110</v>
      </c>
      <c r="H15" s="287">
        <v>8615</v>
      </c>
      <c r="I15" s="287">
        <v>8740</v>
      </c>
      <c r="J15" s="287">
        <v>9440</v>
      </c>
      <c r="K15" s="286">
        <v>855.21</v>
      </c>
      <c r="L15" s="286">
        <v>4665</v>
      </c>
      <c r="M15" s="286">
        <f>'[3]PIGOO DICIEMBRE 2022'!M15</f>
        <v>89.75</v>
      </c>
      <c r="N15" s="286">
        <f t="shared" si="7"/>
        <v>89780.810000000012</v>
      </c>
      <c r="O15" s="286"/>
      <c r="P15" s="286">
        <f t="shared" si="8"/>
        <v>0</v>
      </c>
      <c r="Q15" s="286">
        <f t="shared" si="9"/>
        <v>89780.810000000012</v>
      </c>
      <c r="R15" s="288" t="e">
        <f t="shared" si="10"/>
        <v>#DIV/0!</v>
      </c>
    </row>
    <row r="16" spans="1:19" x14ac:dyDescent="0.25">
      <c r="A16" s="400" t="s">
        <v>149</v>
      </c>
      <c r="B16" s="289"/>
      <c r="C16" s="289"/>
      <c r="D16" s="289"/>
      <c r="E16" s="289"/>
      <c r="F16" s="289"/>
      <c r="G16" s="289"/>
      <c r="H16" s="290"/>
      <c r="I16" s="287"/>
      <c r="J16" s="287"/>
      <c r="K16" s="289"/>
      <c r="L16" s="289"/>
      <c r="M16" s="289">
        <f>'[3]PIGOO DICIEMBRE 2022'!M16</f>
        <v>0</v>
      </c>
      <c r="N16" s="289">
        <f t="shared" si="7"/>
        <v>0</v>
      </c>
      <c r="O16" s="289"/>
      <c r="P16" s="286">
        <f t="shared" si="8"/>
        <v>0</v>
      </c>
      <c r="Q16" s="286">
        <f t="shared" si="9"/>
        <v>0</v>
      </c>
      <c r="R16" s="288" t="e">
        <f t="shared" si="10"/>
        <v>#DIV/0!</v>
      </c>
    </row>
    <row r="17" spans="1:18" x14ac:dyDescent="0.25">
      <c r="A17" s="400" t="s">
        <v>150</v>
      </c>
      <c r="B17" s="289"/>
      <c r="C17" s="289"/>
      <c r="D17" s="289"/>
      <c r="E17" s="289"/>
      <c r="F17" s="289"/>
      <c r="G17" s="289"/>
      <c r="H17" s="290"/>
      <c r="I17" s="287"/>
      <c r="J17" s="287"/>
      <c r="K17" s="289"/>
      <c r="L17" s="289"/>
      <c r="M17" s="289">
        <f>'[3]PIGOO DICIEMBRE 2022'!M17</f>
        <v>0</v>
      </c>
      <c r="N17" s="289">
        <f t="shared" si="7"/>
        <v>0</v>
      </c>
      <c r="O17" s="289"/>
      <c r="P17" s="286">
        <f t="shared" si="8"/>
        <v>0</v>
      </c>
      <c r="Q17" s="286">
        <f t="shared" si="9"/>
        <v>0</v>
      </c>
      <c r="R17" s="288" t="e">
        <f t="shared" si="10"/>
        <v>#DIV/0!</v>
      </c>
    </row>
    <row r="18" spans="1:18" x14ac:dyDescent="0.25">
      <c r="A18" s="400" t="s">
        <v>151</v>
      </c>
      <c r="B18" s="289"/>
      <c r="C18" s="289"/>
      <c r="D18" s="289"/>
      <c r="E18" s="289"/>
      <c r="F18" s="289"/>
      <c r="G18" s="289">
        <v>-3.42</v>
      </c>
      <c r="H18" s="290"/>
      <c r="I18" s="287"/>
      <c r="J18" s="287"/>
      <c r="K18" s="289"/>
      <c r="L18" s="289"/>
      <c r="M18" s="289">
        <f>'[3]PIGOO DICIEMBRE 2022'!M18</f>
        <v>0</v>
      </c>
      <c r="N18" s="289">
        <f t="shared" si="7"/>
        <v>-3.42</v>
      </c>
      <c r="O18" s="289"/>
      <c r="P18" s="286">
        <f>+O18/12*$Q$23</f>
        <v>0</v>
      </c>
      <c r="Q18" s="286">
        <f t="shared" si="9"/>
        <v>-3.42</v>
      </c>
      <c r="R18" s="288"/>
    </row>
    <row r="19" spans="1:18" x14ac:dyDescent="0.25">
      <c r="A19" s="401" t="s">
        <v>152</v>
      </c>
      <c r="B19" s="286">
        <v>9030</v>
      </c>
      <c r="C19" s="286">
        <v>7080</v>
      </c>
      <c r="D19" s="286">
        <v>8630</v>
      </c>
      <c r="E19" s="286">
        <v>12.16</v>
      </c>
      <c r="F19" s="286">
        <v>355.23</v>
      </c>
      <c r="G19" s="286">
        <v>210000</v>
      </c>
      <c r="H19" s="286">
        <v>2.17</v>
      </c>
      <c r="I19" s="287">
        <v>13.65</v>
      </c>
      <c r="J19" s="287">
        <v>1.92</v>
      </c>
      <c r="K19" s="286">
        <v>-9.85</v>
      </c>
      <c r="L19" s="286">
        <v>-10.4</v>
      </c>
      <c r="M19" s="286">
        <f>'[3]PIGOO DICIEMBRE 2022'!M19</f>
        <v>0</v>
      </c>
      <c r="N19" s="286">
        <f t="shared" si="7"/>
        <v>235104.88000000003</v>
      </c>
      <c r="O19" s="286"/>
      <c r="P19" s="286">
        <f t="shared" si="8"/>
        <v>0</v>
      </c>
      <c r="Q19" s="286">
        <f t="shared" si="9"/>
        <v>235104.88000000003</v>
      </c>
      <c r="R19" s="292" t="e">
        <f>+Q19/P19</f>
        <v>#DIV/0!</v>
      </c>
    </row>
    <row r="20" spans="1:18" x14ac:dyDescent="0.25">
      <c r="A20" s="291"/>
      <c r="B20" s="286"/>
      <c r="C20" s="286"/>
      <c r="D20" s="286"/>
      <c r="E20" s="286"/>
      <c r="F20" s="286"/>
      <c r="G20" s="286"/>
      <c r="H20" s="287"/>
      <c r="I20" s="286"/>
      <c r="J20" s="286"/>
      <c r="K20" s="286"/>
      <c r="L20" s="286"/>
      <c r="M20" s="286">
        <f>'[3]PIGOO DICIEMBRE 2022'!M20</f>
        <v>0</v>
      </c>
      <c r="N20" s="286"/>
      <c r="O20" s="286"/>
      <c r="P20" s="286"/>
      <c r="Q20" s="286"/>
      <c r="R20" s="293">
        <f>COUNTA(B14:M14)</f>
        <v>12</v>
      </c>
    </row>
    <row r="21" spans="1:18" ht="15.75" x14ac:dyDescent="0.25">
      <c r="A21" s="294" t="s">
        <v>153</v>
      </c>
      <c r="B21" s="295">
        <f>+B22+B34+B35</f>
        <v>107025.69</v>
      </c>
      <c r="C21" s="295">
        <f t="shared" ref="C21:J21" si="11">+C22+C34+C35</f>
        <v>178722.39</v>
      </c>
      <c r="D21" s="295">
        <f t="shared" si="11"/>
        <v>134117.62</v>
      </c>
      <c r="E21" s="295">
        <f t="shared" si="11"/>
        <v>171189.47000000003</v>
      </c>
      <c r="F21" s="295">
        <f t="shared" si="11"/>
        <v>153584.69999999998</v>
      </c>
      <c r="G21" s="295">
        <f t="shared" si="11"/>
        <v>147795.02000000002</v>
      </c>
      <c r="H21" s="295">
        <f t="shared" si="11"/>
        <v>154031.32</v>
      </c>
      <c r="I21" s="295">
        <f t="shared" ref="I21:M21" si="12">+I22+I33+I34</f>
        <v>174164.49</v>
      </c>
      <c r="J21" s="295">
        <f t="shared" si="11"/>
        <v>158005.93999999997</v>
      </c>
      <c r="K21" s="295">
        <f t="shared" si="12"/>
        <v>235768.81</v>
      </c>
      <c r="L21" s="295">
        <f t="shared" si="12"/>
        <v>332143.33</v>
      </c>
      <c r="M21" s="295">
        <f>'[3]PIGOO DICIEMBRE 2022'!M21</f>
        <v>294799.63999999996</v>
      </c>
      <c r="N21" s="295">
        <f>SUM(B21:M21)</f>
        <v>2241348.42</v>
      </c>
      <c r="O21" s="295">
        <f>+O22+O33+O34</f>
        <v>0</v>
      </c>
      <c r="P21" s="295">
        <f>+P22+P33+P34</f>
        <v>0</v>
      </c>
      <c r="Q21" s="295">
        <f>+N21-P21</f>
        <v>2241348.42</v>
      </c>
      <c r="R21" s="296" t="e">
        <f t="shared" ref="R21:R27" si="13">+Q21/P21</f>
        <v>#DIV/0!</v>
      </c>
    </row>
    <row r="22" spans="1:18" x14ac:dyDescent="0.25">
      <c r="A22" s="282" t="s">
        <v>154</v>
      </c>
      <c r="B22" s="297">
        <f>+B23+B24+B25+B30</f>
        <v>107025.69</v>
      </c>
      <c r="C22" s="297">
        <f>+C23+C24+C25+C30</f>
        <v>178722.39</v>
      </c>
      <c r="D22" s="297">
        <f>+D23+D24+D25+D30</f>
        <v>134117.62</v>
      </c>
      <c r="E22" s="297">
        <f t="shared" ref="E22:M22" si="14">+E23+E24+E25+E30</f>
        <v>171189.47000000003</v>
      </c>
      <c r="F22" s="297">
        <f t="shared" si="14"/>
        <v>153584.69999999998</v>
      </c>
      <c r="G22" s="297">
        <f t="shared" si="14"/>
        <v>147795.02000000002</v>
      </c>
      <c r="H22" s="297">
        <f t="shared" si="14"/>
        <v>154031.32</v>
      </c>
      <c r="I22" s="297">
        <f t="shared" si="14"/>
        <v>174164.49</v>
      </c>
      <c r="J22" s="297">
        <f t="shared" si="14"/>
        <v>158005.93999999997</v>
      </c>
      <c r="K22" s="297">
        <f t="shared" si="14"/>
        <v>235768.81</v>
      </c>
      <c r="L22" s="297">
        <f t="shared" si="14"/>
        <v>332143.33</v>
      </c>
      <c r="M22" s="297">
        <f>'[3]PIGOO DICIEMBRE 2022'!M22</f>
        <v>294799.63999999996</v>
      </c>
      <c r="N22" s="297">
        <f>+N23+N24+N25+N30</f>
        <v>1550269.37</v>
      </c>
      <c r="O22" s="297">
        <f>+O23+O24+O25+O30</f>
        <v>0</v>
      </c>
      <c r="P22" s="297">
        <f>+P23+P24+P25+P30</f>
        <v>0</v>
      </c>
      <c r="Q22" s="297">
        <f>+N22-P22</f>
        <v>1550269.37</v>
      </c>
      <c r="R22" s="284" t="e">
        <f t="shared" si="13"/>
        <v>#DIV/0!</v>
      </c>
    </row>
    <row r="23" spans="1:18" x14ac:dyDescent="0.25">
      <c r="A23" s="402" t="s">
        <v>155</v>
      </c>
      <c r="B23" s="286">
        <v>39669.440000000002</v>
      </c>
      <c r="C23" s="286">
        <v>85204.21</v>
      </c>
      <c r="D23" s="286">
        <v>39669.440000000002</v>
      </c>
      <c r="E23" s="286">
        <v>62057.51</v>
      </c>
      <c r="F23" s="286">
        <v>42106.42</v>
      </c>
      <c r="G23" s="286">
        <v>30771.68</v>
      </c>
      <c r="H23" s="287">
        <v>43959.56</v>
      </c>
      <c r="I23" s="287">
        <v>42261.8</v>
      </c>
      <c r="J23" s="287">
        <v>52826.45</v>
      </c>
      <c r="K23" s="286">
        <v>42261.16</v>
      </c>
      <c r="L23" s="286">
        <v>42261.16</v>
      </c>
      <c r="M23" s="286">
        <f>'[3]PIGOO DICIEMBRE 2022'!M23</f>
        <v>128717.61</v>
      </c>
      <c r="N23" s="286">
        <f>SUM(B23:M23)</f>
        <v>651766.44000000006</v>
      </c>
      <c r="O23" s="286"/>
      <c r="P23" s="286">
        <f>+O23/12*$R$20</f>
        <v>0</v>
      </c>
      <c r="Q23" s="286">
        <f>+N23-P23</f>
        <v>651766.44000000006</v>
      </c>
      <c r="R23" s="288" t="e">
        <f t="shared" si="13"/>
        <v>#DIV/0!</v>
      </c>
    </row>
    <row r="24" spans="1:18" x14ac:dyDescent="0.25">
      <c r="A24" s="400" t="s">
        <v>156</v>
      </c>
      <c r="B24" s="286">
        <v>28088.83</v>
      </c>
      <c r="C24" s="286">
        <v>46928.12</v>
      </c>
      <c r="D24" s="286">
        <v>42628.06</v>
      </c>
      <c r="E24" s="286">
        <v>34900</v>
      </c>
      <c r="F24" s="286">
        <v>37277.760000000002</v>
      </c>
      <c r="G24" s="286">
        <v>57126.96</v>
      </c>
      <c r="H24" s="287">
        <v>45988.83</v>
      </c>
      <c r="I24" s="287">
        <v>79137.69</v>
      </c>
      <c r="J24" s="287">
        <v>87803.41</v>
      </c>
      <c r="K24" s="286">
        <v>140457.59</v>
      </c>
      <c r="L24" s="286">
        <v>176229.31</v>
      </c>
      <c r="M24" s="286">
        <f>'[3]PIGOO DICIEMBRE 2022'!M24</f>
        <v>121936.37</v>
      </c>
      <c r="N24" s="286">
        <f t="shared" ref="N24" si="15">SUM(B24:M24)</f>
        <v>898502.93</v>
      </c>
      <c r="O24" s="286"/>
      <c r="P24" s="286">
        <f>+O24/12*$R$20</f>
        <v>0</v>
      </c>
      <c r="Q24" s="286">
        <f t="shared" ref="Q24:Q30" si="16">+N24-P24</f>
        <v>898502.93</v>
      </c>
      <c r="R24" s="288" t="e">
        <f t="shared" si="13"/>
        <v>#DIV/0!</v>
      </c>
    </row>
    <row r="25" spans="1:18" x14ac:dyDescent="0.25">
      <c r="A25" s="298" t="s">
        <v>157</v>
      </c>
      <c r="B25" s="283">
        <f t="shared" ref="B25:M25" si="17">+B26+B27+B28+B29</f>
        <v>30387.309999999998</v>
      </c>
      <c r="C25" s="283">
        <f t="shared" si="17"/>
        <v>27769.800000000003</v>
      </c>
      <c r="D25" s="283">
        <f t="shared" si="17"/>
        <v>42673.36</v>
      </c>
      <c r="E25" s="283">
        <f t="shared" si="17"/>
        <v>53873.259999999995</v>
      </c>
      <c r="F25" s="283">
        <f t="shared" si="17"/>
        <v>65573.86</v>
      </c>
      <c r="G25" s="283">
        <f t="shared" si="17"/>
        <v>51963</v>
      </c>
      <c r="H25" s="283">
        <f t="shared" si="17"/>
        <v>55260.42</v>
      </c>
      <c r="I25" s="283">
        <f t="shared" si="17"/>
        <v>43590.69</v>
      </c>
      <c r="J25" s="283">
        <f t="shared" si="17"/>
        <v>11464.81</v>
      </c>
      <c r="K25" s="283">
        <f t="shared" si="17"/>
        <v>43548.31</v>
      </c>
      <c r="L25" s="283">
        <f t="shared" si="17"/>
        <v>107198.48</v>
      </c>
      <c r="M25" s="283">
        <f>'[3]PIGOO DICIEMBRE 2022'!M25</f>
        <v>44145.659999999996</v>
      </c>
      <c r="N25" s="283">
        <f>+N26+N27+N29</f>
        <v>0</v>
      </c>
      <c r="O25" s="283">
        <f>+O26+O27+O29</f>
        <v>0</v>
      </c>
      <c r="P25" s="283">
        <f>+P26+P27+P29</f>
        <v>0</v>
      </c>
      <c r="Q25" s="283">
        <f t="shared" si="16"/>
        <v>0</v>
      </c>
      <c r="R25" s="284" t="e">
        <f t="shared" si="13"/>
        <v>#DIV/0!</v>
      </c>
    </row>
    <row r="26" spans="1:18" x14ac:dyDescent="0.25">
      <c r="A26" s="399" t="s">
        <v>158</v>
      </c>
      <c r="B26" s="286">
        <v>24241.03</v>
      </c>
      <c r="C26" s="286">
        <v>19438.86</v>
      </c>
      <c r="D26" s="286">
        <v>21745.63</v>
      </c>
      <c r="E26" s="286">
        <v>22167.1</v>
      </c>
      <c r="F26" s="286">
        <v>25183.72</v>
      </c>
      <c r="G26" s="286">
        <v>25345.58</v>
      </c>
      <c r="H26" s="287">
        <v>27303.4</v>
      </c>
      <c r="I26" s="287">
        <v>22553.55</v>
      </c>
      <c r="J26" s="287">
        <v>5192.4799999999996</v>
      </c>
      <c r="K26" s="286">
        <v>19565.669999999998</v>
      </c>
      <c r="L26" s="286">
        <v>23830.83</v>
      </c>
      <c r="M26" s="286">
        <f>'[3]PIGOO DICIEMBRE 2022'!M26</f>
        <v>23617.43</v>
      </c>
      <c r="N26" s="286"/>
      <c r="O26" s="286"/>
      <c r="P26" s="286">
        <f>+O26/12*$R$20</f>
        <v>0</v>
      </c>
      <c r="Q26" s="286">
        <f t="shared" si="16"/>
        <v>0</v>
      </c>
      <c r="R26" s="288"/>
    </row>
    <row r="27" spans="1:18" x14ac:dyDescent="0.25">
      <c r="A27" s="399" t="s">
        <v>159</v>
      </c>
      <c r="B27" s="286"/>
      <c r="C27" s="286"/>
      <c r="D27" s="286"/>
      <c r="E27" s="286"/>
      <c r="F27" s="286"/>
      <c r="G27" s="286"/>
      <c r="H27" s="287"/>
      <c r="I27" s="287">
        <v>0</v>
      </c>
      <c r="J27" s="287"/>
      <c r="K27" s="286"/>
      <c r="L27" s="286"/>
      <c r="M27" s="286">
        <f>'[3]PIGOO DICIEMBRE 2022'!M27</f>
        <v>10679.35</v>
      </c>
      <c r="N27" s="286"/>
      <c r="O27" s="286"/>
      <c r="P27" s="286">
        <f>+O27/12*$R$20</f>
        <v>0</v>
      </c>
      <c r="Q27" s="286">
        <f t="shared" si="16"/>
        <v>0</v>
      </c>
      <c r="R27" s="288" t="e">
        <f t="shared" si="13"/>
        <v>#DIV/0!</v>
      </c>
    </row>
    <row r="28" spans="1:18" x14ac:dyDescent="0.25">
      <c r="A28" s="399" t="s">
        <v>291</v>
      </c>
      <c r="B28" s="286"/>
      <c r="C28" s="286"/>
      <c r="D28" s="286">
        <v>0</v>
      </c>
      <c r="E28" s="286">
        <v>0</v>
      </c>
      <c r="F28" s="286">
        <v>0</v>
      </c>
      <c r="G28" s="286">
        <v>0</v>
      </c>
      <c r="H28" s="287">
        <v>0</v>
      </c>
      <c r="I28" s="287">
        <v>0</v>
      </c>
      <c r="J28" s="287">
        <v>0</v>
      </c>
      <c r="K28" s="286">
        <v>0</v>
      </c>
      <c r="L28" s="286">
        <v>0</v>
      </c>
      <c r="M28" s="286">
        <f>'[3]PIGOO DICIEMBRE 2022'!M28</f>
        <v>0</v>
      </c>
      <c r="N28" s="286"/>
      <c r="O28" s="286"/>
      <c r="P28" s="286"/>
      <c r="Q28" s="286"/>
      <c r="R28" s="288"/>
    </row>
    <row r="29" spans="1:18" x14ac:dyDescent="0.25">
      <c r="A29" s="399" t="s">
        <v>160</v>
      </c>
      <c r="B29" s="286">
        <v>6146.28</v>
      </c>
      <c r="C29" s="286">
        <v>8330.94</v>
      </c>
      <c r="D29" s="286">
        <v>20927.73</v>
      </c>
      <c r="E29" s="286">
        <v>31706.16</v>
      </c>
      <c r="F29" s="286">
        <v>40390.14</v>
      </c>
      <c r="G29" s="286">
        <v>26617.42</v>
      </c>
      <c r="H29" s="287">
        <v>27957.02</v>
      </c>
      <c r="I29" s="287">
        <v>21037.14</v>
      </c>
      <c r="J29" s="287">
        <v>6272.33</v>
      </c>
      <c r="K29" s="286">
        <v>23982.639999999999</v>
      </c>
      <c r="L29" s="286">
        <v>83367.649999999994</v>
      </c>
      <c r="M29" s="286">
        <f>'[3]PIGOO DICIEMBRE 2022'!M29</f>
        <v>9848.8799999999992</v>
      </c>
      <c r="N29" s="286"/>
      <c r="O29" s="286"/>
      <c r="P29" s="286">
        <f>+O29/12*$R$20</f>
        <v>0</v>
      </c>
      <c r="Q29" s="286">
        <f t="shared" si="16"/>
        <v>0</v>
      </c>
      <c r="R29" s="288"/>
    </row>
    <row r="30" spans="1:18" x14ac:dyDescent="0.25">
      <c r="A30" s="400" t="s">
        <v>292</v>
      </c>
      <c r="B30" s="286">
        <v>8880.11</v>
      </c>
      <c r="C30" s="286">
        <v>18820.259999999998</v>
      </c>
      <c r="D30" s="286">
        <v>9146.76</v>
      </c>
      <c r="E30" s="286">
        <v>20358.7</v>
      </c>
      <c r="F30" s="286">
        <v>8626.66</v>
      </c>
      <c r="G30" s="286">
        <v>7933.38</v>
      </c>
      <c r="H30" s="287">
        <v>8822.51</v>
      </c>
      <c r="I30" s="287">
        <v>9174.31</v>
      </c>
      <c r="J30" s="287">
        <v>5911.27</v>
      </c>
      <c r="K30" s="286">
        <v>9501.75</v>
      </c>
      <c r="L30" s="286">
        <v>6454.38</v>
      </c>
      <c r="M30" s="286">
        <f>'[3]PIGOO DICIEMBRE 2022'!M30</f>
        <v>0</v>
      </c>
      <c r="N30" s="286"/>
      <c r="O30" s="286"/>
      <c r="P30" s="286">
        <f>+O30/12*$R$20</f>
        <v>0</v>
      </c>
      <c r="Q30" s="286">
        <f t="shared" si="16"/>
        <v>0</v>
      </c>
      <c r="R30" s="299">
        <v>4.7587328311763356E-2</v>
      </c>
    </row>
    <row r="31" spans="1:18" x14ac:dyDescent="0.25">
      <c r="A31" s="426" t="s">
        <v>317</v>
      </c>
      <c r="B31" s="426"/>
      <c r="C31" s="426"/>
      <c r="D31" s="286"/>
      <c r="E31" s="286"/>
      <c r="F31" s="286"/>
      <c r="G31" s="286"/>
      <c r="H31" s="287"/>
      <c r="I31" s="286"/>
      <c r="J31" s="286"/>
      <c r="K31" s="286"/>
      <c r="L31" s="286"/>
      <c r="M31" s="286">
        <f>'[3]PIGOO DICIEMBRE 2022'!M31</f>
        <v>0</v>
      </c>
      <c r="N31" s="286"/>
      <c r="O31" s="286"/>
      <c r="P31" s="286"/>
      <c r="Q31" s="286"/>
      <c r="R31" s="288"/>
    </row>
    <row r="32" spans="1:18" x14ac:dyDescent="0.25">
      <c r="A32" s="300" t="s">
        <v>161</v>
      </c>
      <c r="B32" s="297">
        <f>+B11-B22</f>
        <v>276374.50999999995</v>
      </c>
      <c r="C32" s="297">
        <f>+C11-C22</f>
        <v>7776.1299999999756</v>
      </c>
      <c r="D32" s="297">
        <f t="shared" ref="D32:K32" si="18">+D11-D22</f>
        <v>104099.51999999999</v>
      </c>
      <c r="E32" s="297">
        <f t="shared" si="18"/>
        <v>42632.569999999978</v>
      </c>
      <c r="F32" s="297">
        <f t="shared" si="18"/>
        <v>27183.760000000038</v>
      </c>
      <c r="G32" s="297">
        <f t="shared" si="18"/>
        <v>232854.63999999996</v>
      </c>
      <c r="H32" s="297">
        <f t="shared" si="18"/>
        <v>31036</v>
      </c>
      <c r="I32" s="297">
        <f t="shared" si="18"/>
        <v>18075.429999999993</v>
      </c>
      <c r="J32" s="297">
        <v>-30338.720000000001</v>
      </c>
      <c r="K32" s="297">
        <f t="shared" si="18"/>
        <v>-45743.590000000026</v>
      </c>
      <c r="L32" s="297">
        <v>-198401.04</v>
      </c>
      <c r="M32" s="297">
        <f>'[3]PIGOO DICIEMBRE 2022'!M32</f>
        <v>-91802.18</v>
      </c>
      <c r="N32" s="297">
        <f>+N11-N22</f>
        <v>849046.12999999989</v>
      </c>
      <c r="O32" s="297">
        <f>+O11-O22</f>
        <v>0</v>
      </c>
      <c r="P32" s="297">
        <f>+P11-P22</f>
        <v>0</v>
      </c>
      <c r="Q32" s="297">
        <f>+N32-P32</f>
        <v>849046.12999999989</v>
      </c>
      <c r="R32" s="288" t="e">
        <f>+Q32/P32</f>
        <v>#DIV/0!</v>
      </c>
    </row>
    <row r="33" spans="1:19" x14ac:dyDescent="0.25">
      <c r="A33" s="401" t="s">
        <v>162</v>
      </c>
      <c r="B33" s="286">
        <v>0</v>
      </c>
      <c r="C33" s="286"/>
      <c r="D33" s="286"/>
      <c r="E33" s="286"/>
      <c r="F33" s="286"/>
      <c r="G33" s="286"/>
      <c r="H33" s="287"/>
      <c r="I33" s="286"/>
      <c r="J33" s="286"/>
      <c r="K33" s="286"/>
      <c r="L33" s="286"/>
      <c r="M33" s="286">
        <f>'[3]PIGOO DICIEMBRE 2022'!M33</f>
        <v>0</v>
      </c>
      <c r="N33" s="286">
        <f t="shared" ref="N33" si="19">SUM(B33:M33)</f>
        <v>0</v>
      </c>
      <c r="O33" s="286"/>
      <c r="P33" s="286">
        <f t="shared" ref="P33:P34" si="20">+O33/12*$R$20</f>
        <v>0</v>
      </c>
      <c r="Q33" s="286">
        <f>+N33-P33</f>
        <v>0</v>
      </c>
      <c r="R33" s="288" t="e">
        <f t="shared" si="10"/>
        <v>#DIV/0!</v>
      </c>
    </row>
    <row r="34" spans="1:19" x14ac:dyDescent="0.25">
      <c r="A34" s="301" t="s">
        <v>163</v>
      </c>
      <c r="B34" s="283">
        <f>B35+B36+B37</f>
        <v>0</v>
      </c>
      <c r="C34" s="283">
        <f t="shared" ref="C34:O34" si="21">+C35+C36+C37</f>
        <v>0</v>
      </c>
      <c r="D34" s="283">
        <f t="shared" si="21"/>
        <v>0</v>
      </c>
      <c r="E34" s="283">
        <f t="shared" si="21"/>
        <v>0</v>
      </c>
      <c r="F34" s="283">
        <f t="shared" si="21"/>
        <v>0</v>
      </c>
      <c r="G34" s="283">
        <f t="shared" si="21"/>
        <v>0</v>
      </c>
      <c r="H34" s="283">
        <f t="shared" si="21"/>
        <v>0</v>
      </c>
      <c r="I34" s="283">
        <f t="shared" si="21"/>
        <v>0</v>
      </c>
      <c r="J34" s="283">
        <f t="shared" si="21"/>
        <v>0</v>
      </c>
      <c r="K34" s="283">
        <f t="shared" si="21"/>
        <v>0</v>
      </c>
      <c r="L34" s="283">
        <f t="shared" si="21"/>
        <v>0</v>
      </c>
      <c r="M34" s="283">
        <f>'[3]PIGOO DICIEMBRE 2022'!M34</f>
        <v>0</v>
      </c>
      <c r="N34" s="283">
        <f t="shared" si="21"/>
        <v>0</v>
      </c>
      <c r="O34" s="283">
        <f t="shared" si="21"/>
        <v>0</v>
      </c>
      <c r="P34" s="283">
        <f t="shared" si="20"/>
        <v>0</v>
      </c>
      <c r="Q34" s="283">
        <f>+N34-P34</f>
        <v>0</v>
      </c>
      <c r="R34" s="284" t="e">
        <f t="shared" si="10"/>
        <v>#DIV/0!</v>
      </c>
      <c r="S34" s="412">
        <v>21</v>
      </c>
    </row>
    <row r="35" spans="1:19" x14ac:dyDescent="0.25">
      <c r="A35" s="399" t="s">
        <v>164</v>
      </c>
      <c r="B35" s="286"/>
      <c r="C35" s="286"/>
      <c r="D35" s="286"/>
      <c r="E35" s="286"/>
      <c r="F35" s="286"/>
      <c r="G35" s="286"/>
      <c r="H35" s="287"/>
      <c r="I35" s="286"/>
      <c r="J35" s="286"/>
      <c r="K35" s="286"/>
      <c r="L35" s="286"/>
      <c r="M35" s="286">
        <f>'[3]PIGOO DICIEMBRE 2022'!M35</f>
        <v>0</v>
      </c>
      <c r="N35" s="286">
        <f t="shared" ref="N35:N37" si="22">SUM(B35:M35)</f>
        <v>0</v>
      </c>
      <c r="O35" s="286"/>
      <c r="P35" s="286"/>
      <c r="Q35" s="286"/>
      <c r="R35" s="288"/>
    </row>
    <row r="36" spans="1:19" x14ac:dyDescent="0.25">
      <c r="A36" s="399" t="s">
        <v>165</v>
      </c>
      <c r="B36" s="286"/>
      <c r="C36" s="286"/>
      <c r="D36" s="286"/>
      <c r="E36" s="286"/>
      <c r="F36" s="286"/>
      <c r="G36" s="286"/>
      <c r="H36" s="287"/>
      <c r="I36" s="286"/>
      <c r="J36" s="286"/>
      <c r="K36" s="286"/>
      <c r="L36" s="286"/>
      <c r="M36" s="286">
        <f>'[3]PIGOO DICIEMBRE 2022'!M36</f>
        <v>0</v>
      </c>
      <c r="N36" s="286">
        <f t="shared" si="22"/>
        <v>0</v>
      </c>
      <c r="O36" s="286"/>
      <c r="P36" s="286"/>
      <c r="Q36" s="286"/>
      <c r="R36" s="288"/>
    </row>
    <row r="37" spans="1:19" x14ac:dyDescent="0.25">
      <c r="A37" s="399" t="s">
        <v>166</v>
      </c>
      <c r="B37" s="286"/>
      <c r="C37" s="286"/>
      <c r="D37" s="286"/>
      <c r="E37" s="286"/>
      <c r="F37" s="286"/>
      <c r="G37" s="286"/>
      <c r="H37" s="287"/>
      <c r="I37" s="287"/>
      <c r="J37" s="287"/>
      <c r="K37" s="286"/>
      <c r="L37" s="286"/>
      <c r="M37" s="286">
        <f>'[3]PIGOO DICIEMBRE 2022'!M37</f>
        <v>0</v>
      </c>
      <c r="N37" s="286">
        <f t="shared" si="22"/>
        <v>0</v>
      </c>
      <c r="O37" s="286"/>
      <c r="P37" s="286"/>
      <c r="Q37" s="286"/>
      <c r="R37" s="288"/>
    </row>
    <row r="38" spans="1:19" x14ac:dyDescent="0.25">
      <c r="A38" s="302" t="s">
        <v>167</v>
      </c>
      <c r="B38" s="303">
        <f>+B32-B33-B34</f>
        <v>276374.50999999995</v>
      </c>
      <c r="C38" s="303">
        <f t="shared" ref="C38:M38" si="23">+C32-C33-C34</f>
        <v>7776.1299999999756</v>
      </c>
      <c r="D38" s="303">
        <f t="shared" si="23"/>
        <v>104099.51999999999</v>
      </c>
      <c r="E38" s="303">
        <f t="shared" si="23"/>
        <v>42632.569999999978</v>
      </c>
      <c r="F38" s="303">
        <f t="shared" si="23"/>
        <v>27183.760000000038</v>
      </c>
      <c r="G38" s="303">
        <f t="shared" si="23"/>
        <v>232854.63999999996</v>
      </c>
      <c r="H38" s="303">
        <f t="shared" si="23"/>
        <v>31036</v>
      </c>
      <c r="I38" s="303">
        <f>+I32-I33-I34</f>
        <v>18075.429999999993</v>
      </c>
      <c r="J38" s="303">
        <f>+J32-J33-J34</f>
        <v>-30338.720000000001</v>
      </c>
      <c r="K38" s="303">
        <f t="shared" si="23"/>
        <v>-45743.590000000026</v>
      </c>
      <c r="L38" s="303">
        <f t="shared" si="23"/>
        <v>-198401.04</v>
      </c>
      <c r="M38" s="303">
        <f>'[3]PIGOO DICIEMBRE 2022'!M38</f>
        <v>-91802.18</v>
      </c>
      <c r="N38" s="303">
        <f>+N32-N33-N34</f>
        <v>849046.12999999989</v>
      </c>
      <c r="O38" s="303">
        <f t="shared" ref="O38:P38" si="24">+O32-O33-O34</f>
        <v>0</v>
      </c>
      <c r="P38" s="303">
        <f t="shared" si="24"/>
        <v>0</v>
      </c>
      <c r="Q38" s="303">
        <f t="shared" ref="Q38" si="25">+N38-P38</f>
        <v>849046.12999999989</v>
      </c>
      <c r="R38" s="299">
        <v>0</v>
      </c>
    </row>
    <row r="39" spans="1:19" x14ac:dyDescent="0.25">
      <c r="A39" s="401" t="s">
        <v>168</v>
      </c>
      <c r="B39" s="286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>
        <f>'[3]PIGOO DICIEMBRE 2022'!M39</f>
        <v>0</v>
      </c>
      <c r="N39" s="286">
        <f t="shared" ref="N39:Q39" si="26">SUM(B39:M39)</f>
        <v>0</v>
      </c>
      <c r="O39" s="286">
        <f t="shared" si="26"/>
        <v>0</v>
      </c>
      <c r="P39" s="286">
        <f t="shared" si="26"/>
        <v>0</v>
      </c>
      <c r="Q39" s="286">
        <f t="shared" si="26"/>
        <v>0</v>
      </c>
      <c r="R39" s="288">
        <v>0</v>
      </c>
    </row>
    <row r="40" spans="1:19" x14ac:dyDescent="0.25">
      <c r="A40" s="304" t="s">
        <v>169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>
        <f>'[3]PIGOO DICIEMBRE 2022'!M40</f>
        <v>0</v>
      </c>
      <c r="N40" s="286"/>
      <c r="O40" s="286"/>
      <c r="P40" s="286"/>
      <c r="Q40" s="286"/>
      <c r="R40" s="288"/>
    </row>
    <row r="41" spans="1:19" x14ac:dyDescent="0.25">
      <c r="A41" s="291" t="s">
        <v>170</v>
      </c>
      <c r="B41" s="287">
        <f t="shared" ref="B41:M41" si="27">SUM(B42:B44)</f>
        <v>834111.41</v>
      </c>
      <c r="C41" s="287">
        <f t="shared" si="27"/>
        <v>909354.57</v>
      </c>
      <c r="D41" s="287">
        <f t="shared" si="27"/>
        <v>1004977.5</v>
      </c>
      <c r="E41" s="287">
        <f t="shared" si="27"/>
        <v>1040938.21</v>
      </c>
      <c r="F41" s="287">
        <f t="shared" si="27"/>
        <v>1078123.3400000001</v>
      </c>
      <c r="G41" s="287">
        <f t="shared" si="27"/>
        <v>1212579.58</v>
      </c>
      <c r="H41" s="287">
        <f t="shared" si="27"/>
        <v>1214030.3799999999</v>
      </c>
      <c r="I41" s="287">
        <f t="shared" si="27"/>
        <v>1218540.74</v>
      </c>
      <c r="J41" s="287">
        <f t="shared" si="27"/>
        <v>1157161.27</v>
      </c>
      <c r="K41" s="287">
        <f t="shared" si="27"/>
        <v>1314256.27</v>
      </c>
      <c r="L41" s="287">
        <f t="shared" si="27"/>
        <v>1010343.47</v>
      </c>
      <c r="M41" s="287">
        <f>'[3]PIGOO DICIEMBRE 2022'!M41</f>
        <v>978827.67</v>
      </c>
      <c r="N41" s="287"/>
      <c r="O41" s="287"/>
      <c r="P41" s="286"/>
      <c r="Q41" s="286"/>
      <c r="R41" s="288"/>
    </row>
    <row r="42" spans="1:19" x14ac:dyDescent="0.25">
      <c r="A42" s="399" t="s">
        <v>171</v>
      </c>
      <c r="B42" s="286">
        <v>834111.41</v>
      </c>
      <c r="C42" s="286">
        <v>909354.57</v>
      </c>
      <c r="D42" s="286">
        <v>1004977.5</v>
      </c>
      <c r="E42" s="286">
        <v>1040938.21</v>
      </c>
      <c r="F42" s="286">
        <v>1078123.3400000001</v>
      </c>
      <c r="G42" s="286">
        <v>1212579.58</v>
      </c>
      <c r="H42" s="287">
        <v>1214030.3799999999</v>
      </c>
      <c r="I42" s="287">
        <v>1218540.74</v>
      </c>
      <c r="J42" s="287">
        <v>1157161.27</v>
      </c>
      <c r="K42" s="286">
        <v>1314256.27</v>
      </c>
      <c r="L42" s="286">
        <v>1010343.47</v>
      </c>
      <c r="M42" s="286">
        <f>'[3]PIGOO DICIEMBRE 2022'!M42</f>
        <v>978827.67</v>
      </c>
      <c r="N42" s="286"/>
      <c r="O42" s="286"/>
      <c r="P42" s="286"/>
      <c r="Q42" s="286"/>
      <c r="R42" s="288"/>
    </row>
    <row r="43" spans="1:19" x14ac:dyDescent="0.25">
      <c r="A43" s="399" t="s">
        <v>172</v>
      </c>
      <c r="B43" s="286"/>
      <c r="C43" s="286"/>
      <c r="D43" s="286"/>
      <c r="E43" s="286"/>
      <c r="F43" s="286"/>
      <c r="G43" s="286"/>
      <c r="H43" s="287"/>
      <c r="I43" s="287"/>
      <c r="J43" s="287"/>
      <c r="K43" s="286"/>
      <c r="L43" s="286"/>
      <c r="M43" s="286">
        <f>'[3]PIGOO DICIEMBRE 2022'!M43</f>
        <v>0</v>
      </c>
      <c r="N43" s="286"/>
      <c r="O43" s="286"/>
      <c r="P43" s="286"/>
      <c r="Q43" s="286"/>
      <c r="R43" s="288"/>
    </row>
    <row r="44" spans="1:19" x14ac:dyDescent="0.25">
      <c r="A44" s="399" t="s">
        <v>173</v>
      </c>
      <c r="B44" s="286">
        <v>0</v>
      </c>
      <c r="C44" s="286">
        <v>0</v>
      </c>
      <c r="D44" s="286"/>
      <c r="E44" s="286"/>
      <c r="F44" s="286"/>
      <c r="G44" s="286"/>
      <c r="H44" s="287"/>
      <c r="I44" s="287"/>
      <c r="J44" s="287"/>
      <c r="K44" s="286"/>
      <c r="L44" s="286"/>
      <c r="M44" s="286">
        <f>'[3]PIGOO DICIEMBRE 2022'!M44</f>
        <v>0</v>
      </c>
      <c r="N44" s="286"/>
      <c r="O44" s="286"/>
      <c r="P44" s="286"/>
      <c r="Q44" s="286"/>
      <c r="R44" s="288"/>
    </row>
    <row r="45" spans="1:19" x14ac:dyDescent="0.25">
      <c r="A45" s="401" t="s">
        <v>174</v>
      </c>
      <c r="B45" s="286">
        <v>1840303.31</v>
      </c>
      <c r="C45" s="286">
        <v>1847431.09</v>
      </c>
      <c r="D45" s="286">
        <v>1955246.99</v>
      </c>
      <c r="E45" s="286">
        <v>1999635.43</v>
      </c>
      <c r="F45" s="286">
        <v>2027716.37</v>
      </c>
      <c r="G45" s="286">
        <v>2141625.79</v>
      </c>
      <c r="H45" s="287">
        <v>2126317.5699999998</v>
      </c>
      <c r="I45" s="287">
        <v>2126044.1600000001</v>
      </c>
      <c r="J45" s="287">
        <v>2063475.91</v>
      </c>
      <c r="K45" s="286">
        <v>1979344.91</v>
      </c>
      <c r="L45" s="286">
        <v>1719105.32</v>
      </c>
      <c r="M45" s="286">
        <f>'[3]PIGOO DICIEMBRE 2022'!M45</f>
        <v>1612523.28</v>
      </c>
      <c r="N45" s="286"/>
      <c r="O45" s="286"/>
      <c r="P45" s="286"/>
      <c r="Q45" s="286"/>
      <c r="R45" s="288"/>
    </row>
    <row r="46" spans="1:19" x14ac:dyDescent="0.25">
      <c r="A46" s="401" t="s">
        <v>175</v>
      </c>
      <c r="B46" s="286">
        <v>7944844.1600000001</v>
      </c>
      <c r="C46" s="286">
        <v>7951971.9400000004</v>
      </c>
      <c r="D46" s="286">
        <v>8059787.8399999999</v>
      </c>
      <c r="E46" s="286">
        <v>8104176.2800000003</v>
      </c>
      <c r="F46" s="286">
        <v>8132257.2199999997</v>
      </c>
      <c r="G46" s="286">
        <v>8365860.0999999996</v>
      </c>
      <c r="H46" s="287">
        <v>8411557.9600000009</v>
      </c>
      <c r="I46" s="287">
        <v>8411284.5500000007</v>
      </c>
      <c r="J46" s="287">
        <v>8382235.8300000001</v>
      </c>
      <c r="K46" s="286">
        <v>8337524.2400000002</v>
      </c>
      <c r="L46" s="286">
        <v>8144580.4800000004</v>
      </c>
      <c r="M46" s="286">
        <f>'[3]PIGOO DICIEMBRE 2022'!M46</f>
        <v>8050998.4400000004</v>
      </c>
      <c r="N46" s="286"/>
      <c r="O46" s="286"/>
      <c r="P46" s="286"/>
      <c r="Q46" s="286"/>
      <c r="R46" s="288"/>
    </row>
    <row r="47" spans="1:19" x14ac:dyDescent="0.25">
      <c r="A47" s="401" t="s">
        <v>176</v>
      </c>
      <c r="B47" s="286">
        <v>276183.15999999997</v>
      </c>
      <c r="C47" s="286">
        <v>276658.09999999998</v>
      </c>
      <c r="D47" s="286">
        <v>280371.06</v>
      </c>
      <c r="E47" s="286">
        <v>282139.09000000003</v>
      </c>
      <c r="F47" s="286">
        <v>283036.27</v>
      </c>
      <c r="G47" s="286">
        <v>283784.51</v>
      </c>
      <c r="H47" s="287">
        <v>298446.37</v>
      </c>
      <c r="I47" s="287">
        <v>288712.53000000003</v>
      </c>
      <c r="J47" s="287">
        <v>290002.53000000003</v>
      </c>
      <c r="K47" s="286">
        <v>291034.53000000003</v>
      </c>
      <c r="L47" s="286">
        <v>296941.81</v>
      </c>
      <c r="M47" s="286">
        <f>'[3]PIGOO DICIEMBRE 2022'!M47</f>
        <v>294711.95</v>
      </c>
      <c r="N47" s="286"/>
      <c r="O47" s="286"/>
      <c r="P47" s="286"/>
      <c r="Q47" s="286"/>
      <c r="R47" s="288"/>
    </row>
    <row r="48" spans="1:19" x14ac:dyDescent="0.25">
      <c r="A48" s="401" t="s">
        <v>177</v>
      </c>
      <c r="B48" s="286">
        <v>7944844.1600000001</v>
      </c>
      <c r="C48" s="286">
        <v>7951971.9400000004</v>
      </c>
      <c r="D48" s="286">
        <v>8059787.8399999999</v>
      </c>
      <c r="E48" s="286">
        <v>8104176.2800000003</v>
      </c>
      <c r="F48" s="286">
        <v>8132257.2199999997</v>
      </c>
      <c r="G48" s="286">
        <v>8365860.0999999996</v>
      </c>
      <c r="H48" s="287">
        <v>8411557.9600000009</v>
      </c>
      <c r="I48" s="287">
        <v>8411284.5500000007</v>
      </c>
      <c r="J48" s="287">
        <v>8382235.8300000001</v>
      </c>
      <c r="K48" s="286">
        <v>8337524.2400000002</v>
      </c>
      <c r="L48" s="286">
        <v>8144580.4800000004</v>
      </c>
      <c r="M48" s="286">
        <f>'[3]PIGOO DICIEMBRE 2022'!M48</f>
        <v>8050998.4400000004</v>
      </c>
      <c r="N48" s="286"/>
      <c r="O48" s="286"/>
      <c r="P48" s="286"/>
      <c r="Q48" s="286"/>
      <c r="R48" s="288"/>
    </row>
    <row r="49" spans="1:19" x14ac:dyDescent="0.25">
      <c r="A49" s="401" t="s">
        <v>178</v>
      </c>
      <c r="B49" s="286"/>
      <c r="C49" s="286"/>
      <c r="D49" s="286"/>
      <c r="E49" s="286"/>
      <c r="F49" s="286"/>
      <c r="G49" s="286"/>
      <c r="H49" s="287"/>
      <c r="I49" s="287"/>
      <c r="J49" s="287"/>
      <c r="K49" s="286"/>
      <c r="L49" s="286"/>
      <c r="M49" s="286">
        <f>'[3]PIGOO DICIEMBRE 2022'!M49</f>
        <v>0</v>
      </c>
      <c r="N49" s="286"/>
      <c r="O49" s="286"/>
      <c r="P49" s="286"/>
      <c r="Q49" s="286"/>
      <c r="R49" s="288"/>
    </row>
    <row r="50" spans="1:19" x14ac:dyDescent="0.25">
      <c r="A50" s="305"/>
      <c r="B50" s="306"/>
      <c r="C50" s="306"/>
      <c r="D50" s="306"/>
      <c r="E50" s="306"/>
      <c r="F50" s="306"/>
      <c r="G50" s="306"/>
      <c r="H50" s="306"/>
      <c r="I50" s="306"/>
      <c r="J50" s="306"/>
      <c r="K50" s="286"/>
      <c r="L50" s="306"/>
      <c r="M50" s="306">
        <f>'[3]PIGOO DICIEMBRE 2022'!M50</f>
        <v>0</v>
      </c>
      <c r="N50" s="306"/>
      <c r="O50" s="306"/>
      <c r="P50" s="306"/>
      <c r="Q50" s="306"/>
      <c r="R50" s="288"/>
    </row>
    <row r="51" spans="1:19" ht="15.75" x14ac:dyDescent="0.25">
      <c r="A51" s="307" t="s">
        <v>179</v>
      </c>
      <c r="B51" s="308">
        <f>+B52+B53+B54</f>
        <v>7184</v>
      </c>
      <c r="C51" s="308">
        <f>+C52+C53+C54</f>
        <v>6755</v>
      </c>
      <c r="D51" s="308">
        <f>SUM(D52:D54)</f>
        <v>7992</v>
      </c>
      <c r="E51" s="308">
        <f t="shared" ref="E51" si="28">+E52+E53+E54</f>
        <v>8422</v>
      </c>
      <c r="F51" s="308">
        <f t="shared" ref="F51" si="29">SUM(F52:F54)</f>
        <v>9672</v>
      </c>
      <c r="G51" s="308">
        <f t="shared" ref="G51" si="30">+G52+G53+G54</f>
        <v>9061</v>
      </c>
      <c r="H51" s="308">
        <f t="shared" ref="H51" si="31">SUM(H52:H55)</f>
        <v>8435</v>
      </c>
      <c r="I51" s="308">
        <f t="shared" ref="I51:M51" si="32">+I52+I53+I54</f>
        <v>7523</v>
      </c>
      <c r="J51" s="308">
        <f t="shared" si="32"/>
        <v>6656</v>
      </c>
      <c r="K51" s="308">
        <f t="shared" si="32"/>
        <v>6995</v>
      </c>
      <c r="L51" s="308">
        <f t="shared" si="32"/>
        <v>6809</v>
      </c>
      <c r="M51" s="308">
        <f>'[3]PIGOO DICIEMBRE 2022'!M51</f>
        <v>6622</v>
      </c>
      <c r="N51" s="308">
        <f t="shared" ref="N51" si="33">SUM(N52:N54)</f>
        <v>0</v>
      </c>
      <c r="O51" s="308"/>
      <c r="P51" s="308"/>
      <c r="Q51" s="308"/>
      <c r="R51" s="308"/>
      <c r="S51" s="412">
        <v>9</v>
      </c>
    </row>
    <row r="52" spans="1:19" x14ac:dyDescent="0.25">
      <c r="A52" s="401" t="s">
        <v>180</v>
      </c>
      <c r="B52" s="309">
        <v>7184</v>
      </c>
      <c r="C52" s="309">
        <v>6755</v>
      </c>
      <c r="D52" s="309">
        <v>7992</v>
      </c>
      <c r="E52" s="309">
        <v>8422</v>
      </c>
      <c r="F52" s="309">
        <v>9672</v>
      </c>
      <c r="G52" s="309">
        <v>9061</v>
      </c>
      <c r="H52" s="310">
        <v>8435</v>
      </c>
      <c r="I52" s="310">
        <v>7523</v>
      </c>
      <c r="J52" s="310">
        <v>6656</v>
      </c>
      <c r="K52" s="286">
        <v>6995</v>
      </c>
      <c r="L52" s="309">
        <v>6809</v>
      </c>
      <c r="M52" s="309">
        <f>'[3]PIGOO DICIEMBRE 2022'!M52</f>
        <v>6622</v>
      </c>
      <c r="N52" s="309"/>
      <c r="O52" s="309"/>
      <c r="P52" s="309"/>
      <c r="Q52" s="309"/>
      <c r="R52" s="309"/>
    </row>
    <row r="53" spans="1:19" ht="15" customHeight="1" x14ac:dyDescent="0.25">
      <c r="A53" s="401" t="s">
        <v>181</v>
      </c>
      <c r="B53" s="309"/>
      <c r="C53" s="309"/>
      <c r="D53" s="309"/>
      <c r="E53" s="309"/>
      <c r="F53" s="309"/>
      <c r="G53" s="309"/>
      <c r="H53" s="310"/>
      <c r="I53" s="310"/>
      <c r="J53" s="310"/>
      <c r="K53" s="286"/>
      <c r="L53" s="309"/>
      <c r="M53" s="309">
        <f>'[3]PIGOO DICIEMBRE 2022'!M53</f>
        <v>0</v>
      </c>
      <c r="N53" s="309"/>
      <c r="O53" s="309"/>
      <c r="P53" s="309"/>
      <c r="Q53" s="309"/>
      <c r="R53" s="309"/>
    </row>
    <row r="54" spans="1:19" ht="15" customHeight="1" x14ac:dyDescent="0.25">
      <c r="A54" s="401" t="s">
        <v>182</v>
      </c>
      <c r="B54" s="309"/>
      <c r="C54" s="309"/>
      <c r="D54" s="309"/>
      <c r="E54" s="309"/>
      <c r="F54" s="309"/>
      <c r="G54" s="309"/>
      <c r="H54" s="310"/>
      <c r="I54" s="310"/>
      <c r="J54" s="310"/>
      <c r="K54" s="286"/>
      <c r="L54" s="309"/>
      <c r="M54" s="309">
        <f>'[3]PIGOO DICIEMBRE 2022'!M54</f>
        <v>0</v>
      </c>
      <c r="N54" s="309"/>
      <c r="O54" s="309"/>
      <c r="P54" s="309"/>
      <c r="Q54" s="309"/>
      <c r="R54" s="309"/>
    </row>
    <row r="55" spans="1:19" ht="15" customHeight="1" x14ac:dyDescent="0.25">
      <c r="A55" s="291"/>
      <c r="B55" s="309"/>
      <c r="C55" s="309"/>
      <c r="D55" s="309"/>
      <c r="E55" s="309"/>
      <c r="F55" s="309"/>
      <c r="G55" s="309"/>
      <c r="H55" s="310"/>
      <c r="I55" s="310"/>
      <c r="J55" s="310"/>
      <c r="K55" s="286"/>
      <c r="L55" s="309"/>
      <c r="M55" s="309">
        <f>'[3]PIGOO DICIEMBRE 2022'!M55</f>
        <v>0</v>
      </c>
      <c r="N55" s="309"/>
      <c r="O55" s="309"/>
      <c r="P55" s="309"/>
      <c r="Q55" s="309"/>
      <c r="R55" s="309"/>
    </row>
    <row r="56" spans="1:19" ht="15.75" x14ac:dyDescent="0.25">
      <c r="A56" s="311" t="s">
        <v>183</v>
      </c>
      <c r="B56" s="308">
        <f>+B57+B58+B59</f>
        <v>21826</v>
      </c>
      <c r="C56" s="308">
        <f>+C57+C58+C59</f>
        <v>21832</v>
      </c>
      <c r="D56" s="308">
        <f>+D57+D58+D59</f>
        <v>24347</v>
      </c>
      <c r="E56" s="308">
        <f>+E57+E58+E59</f>
        <v>25568</v>
      </c>
      <c r="F56" s="308">
        <f t="shared" ref="F56:M56" si="34">+F57+F58+F59</f>
        <v>27999</v>
      </c>
      <c r="G56" s="308">
        <f t="shared" si="34"/>
        <v>26626</v>
      </c>
      <c r="H56" s="308">
        <f t="shared" si="34"/>
        <v>26162</v>
      </c>
      <c r="I56" s="308">
        <f t="shared" si="34"/>
        <v>23051</v>
      </c>
      <c r="J56" s="308">
        <f t="shared" si="34"/>
        <v>21967</v>
      </c>
      <c r="K56" s="308">
        <f t="shared" si="34"/>
        <v>23869</v>
      </c>
      <c r="L56" s="308">
        <f t="shared" si="34"/>
        <v>23594</v>
      </c>
      <c r="M56" s="308">
        <f>'[3]PIGOO DICIEMBRE 2022'!M56</f>
        <v>22265</v>
      </c>
      <c r="N56" s="308"/>
      <c r="O56" s="308"/>
      <c r="P56" s="308"/>
      <c r="Q56" s="308"/>
      <c r="R56" s="308"/>
      <c r="S56" s="412">
        <v>8</v>
      </c>
    </row>
    <row r="57" spans="1:19" x14ac:dyDescent="0.25">
      <c r="A57" s="401" t="s">
        <v>180</v>
      </c>
      <c r="B57" s="309">
        <v>21826</v>
      </c>
      <c r="C57" s="309">
        <v>21832</v>
      </c>
      <c r="D57" s="309">
        <v>24347</v>
      </c>
      <c r="E57" s="417">
        <v>25568</v>
      </c>
      <c r="F57" s="309">
        <v>27999</v>
      </c>
      <c r="G57" s="309">
        <v>26626</v>
      </c>
      <c r="H57" s="310">
        <v>26162</v>
      </c>
      <c r="I57" s="310">
        <v>23051</v>
      </c>
      <c r="J57" s="310">
        <v>21967</v>
      </c>
      <c r="K57" s="286">
        <v>23869</v>
      </c>
      <c r="L57" s="309">
        <v>23594</v>
      </c>
      <c r="M57" s="309">
        <f>'[3]PIGOO DICIEMBRE 2022'!M57</f>
        <v>22265</v>
      </c>
      <c r="N57" s="309"/>
      <c r="O57" s="309"/>
      <c r="P57" s="309"/>
      <c r="Q57" s="309"/>
      <c r="R57" s="309"/>
    </row>
    <row r="58" spans="1:19" x14ac:dyDescent="0.25">
      <c r="A58" s="401" t="s">
        <v>181</v>
      </c>
      <c r="B58" s="309"/>
      <c r="C58" s="309"/>
      <c r="D58" s="309"/>
      <c r="E58" s="417"/>
      <c r="F58" s="309"/>
      <c r="G58" s="309"/>
      <c r="H58" s="310"/>
      <c r="I58" s="310"/>
      <c r="J58" s="310"/>
      <c r="K58" s="286"/>
      <c r="L58" s="309"/>
      <c r="M58" s="309">
        <f>'[3]PIGOO DICIEMBRE 2022'!M58</f>
        <v>0</v>
      </c>
      <c r="N58" s="309"/>
      <c r="O58" s="309"/>
      <c r="P58" s="309"/>
      <c r="Q58" s="309"/>
      <c r="R58" s="309"/>
    </row>
    <row r="59" spans="1:19" x14ac:dyDescent="0.25">
      <c r="A59" s="401" t="s">
        <v>182</v>
      </c>
      <c r="B59" s="309"/>
      <c r="C59" s="309"/>
      <c r="D59" s="309"/>
      <c r="E59" s="417"/>
      <c r="F59" s="309"/>
      <c r="G59" s="309"/>
      <c r="H59" s="310"/>
      <c r="I59" s="310"/>
      <c r="J59" s="310"/>
      <c r="K59" s="286"/>
      <c r="L59" s="309"/>
      <c r="M59" s="309">
        <f>'[3]PIGOO DICIEMBRE 2022'!M59</f>
        <v>0</v>
      </c>
      <c r="N59" s="309"/>
      <c r="O59" s="309"/>
      <c r="P59" s="309"/>
      <c r="Q59" s="309"/>
      <c r="R59" s="309"/>
    </row>
    <row r="60" spans="1:19" x14ac:dyDescent="0.25">
      <c r="A60" s="312"/>
      <c r="B60" s="309"/>
      <c r="C60" s="309"/>
      <c r="D60" s="309"/>
      <c r="E60" s="417"/>
      <c r="F60" s="309"/>
      <c r="G60" s="309"/>
      <c r="H60" s="310"/>
      <c r="I60" s="310"/>
      <c r="J60" s="310"/>
      <c r="K60" s="286"/>
      <c r="L60" s="309"/>
      <c r="M60" s="309">
        <f>'[3]PIGOO DICIEMBRE 2022'!M60</f>
        <v>0</v>
      </c>
      <c r="N60" s="309"/>
      <c r="O60" s="309"/>
      <c r="P60" s="309"/>
      <c r="Q60" s="309"/>
      <c r="R60" s="309"/>
    </row>
    <row r="61" spans="1:19" x14ac:dyDescent="0.25">
      <c r="A61" s="403" t="s">
        <v>184</v>
      </c>
      <c r="B61" s="314"/>
      <c r="C61" s="314"/>
      <c r="D61" s="314"/>
      <c r="E61" s="314"/>
      <c r="F61" s="314"/>
      <c r="G61" s="314"/>
      <c r="H61" s="314"/>
      <c r="I61" s="314"/>
      <c r="J61" s="314"/>
      <c r="K61" s="315"/>
      <c r="L61" s="314"/>
      <c r="M61" s="504">
        <f>'[3]PIGOO DICIEMBRE 2022'!M61</f>
        <v>0</v>
      </c>
      <c r="N61" s="314"/>
      <c r="O61" s="314"/>
      <c r="P61" s="314"/>
      <c r="Q61" s="314"/>
      <c r="R61" s="314"/>
    </row>
    <row r="62" spans="1:19" x14ac:dyDescent="0.25">
      <c r="A62" s="403" t="s">
        <v>185</v>
      </c>
      <c r="B62" s="314"/>
      <c r="C62" s="314"/>
      <c r="D62" s="314"/>
      <c r="E62" s="314"/>
      <c r="F62" s="314"/>
      <c r="G62" s="314"/>
      <c r="H62" s="314"/>
      <c r="I62" s="314"/>
      <c r="J62" s="314"/>
      <c r="K62" s="286"/>
      <c r="L62" s="314"/>
      <c r="M62" s="504">
        <f>'[3]PIGOO DICIEMBRE 2022'!M62</f>
        <v>0</v>
      </c>
      <c r="N62" s="314"/>
      <c r="O62" s="314"/>
      <c r="P62" s="314"/>
      <c r="Q62" s="314"/>
      <c r="R62" s="314"/>
    </row>
    <row r="63" spans="1:19" x14ac:dyDescent="0.25">
      <c r="A63" s="313"/>
      <c r="B63" s="314"/>
      <c r="C63" s="314"/>
      <c r="D63" s="314"/>
      <c r="E63" s="314"/>
      <c r="F63" s="314"/>
      <c r="G63" s="314"/>
      <c r="H63" s="314"/>
      <c r="I63" s="314"/>
      <c r="J63" s="314"/>
      <c r="K63" s="286"/>
      <c r="L63" s="314"/>
      <c r="M63" s="504">
        <f>'[3]PIGOO DICIEMBRE 2022'!M63</f>
        <v>0</v>
      </c>
      <c r="N63" s="314"/>
      <c r="O63" s="314"/>
      <c r="P63" s="314"/>
      <c r="Q63" s="314"/>
      <c r="R63" s="314"/>
    </row>
    <row r="64" spans="1:19" x14ac:dyDescent="0.25">
      <c r="A64" s="304" t="s">
        <v>186</v>
      </c>
      <c r="B64" s="309"/>
      <c r="C64" s="309"/>
      <c r="D64" s="309"/>
      <c r="E64" s="309"/>
      <c r="F64" s="309"/>
      <c r="G64" s="309"/>
      <c r="H64" s="309"/>
      <c r="I64" s="309"/>
      <c r="J64" s="309"/>
      <c r="K64" s="286"/>
      <c r="L64" s="309"/>
      <c r="M64" s="309">
        <f>'[3]PIGOO DICIEMBRE 2022'!M64</f>
        <v>0</v>
      </c>
      <c r="N64" s="309"/>
      <c r="O64" s="309"/>
      <c r="P64" s="309"/>
      <c r="Q64" s="309"/>
      <c r="R64" s="309"/>
    </row>
    <row r="65" spans="1:19" ht="15.75" x14ac:dyDescent="0.25">
      <c r="A65" s="311" t="s">
        <v>328</v>
      </c>
      <c r="B65" s="316">
        <f t="shared" ref="B65:C65" si="35">+B66+B69</f>
        <v>24139</v>
      </c>
      <c r="C65" s="316">
        <f t="shared" si="35"/>
        <v>25309</v>
      </c>
      <c r="D65" s="316">
        <f>+D66+D69</f>
        <v>30118</v>
      </c>
      <c r="E65" s="316">
        <f t="shared" ref="E65:M65" si="36">+E66+E69</f>
        <v>31274</v>
      </c>
      <c r="F65" s="316">
        <f t="shared" si="36"/>
        <v>32669</v>
      </c>
      <c r="G65" s="316">
        <f t="shared" si="36"/>
        <v>25728</v>
      </c>
      <c r="H65" s="316">
        <f t="shared" si="36"/>
        <v>29093</v>
      </c>
      <c r="I65" s="316">
        <f t="shared" si="36"/>
        <v>25958</v>
      </c>
      <c r="J65" s="316">
        <f t="shared" si="36"/>
        <v>25115</v>
      </c>
      <c r="K65" s="316">
        <f t="shared" si="36"/>
        <v>25767</v>
      </c>
      <c r="L65" s="316">
        <f t="shared" si="36"/>
        <v>24695</v>
      </c>
      <c r="M65" s="316">
        <f>'[3]PIGOO DICIEMBRE 2022'!M65</f>
        <v>23732</v>
      </c>
      <c r="N65" s="308"/>
      <c r="O65" s="308"/>
      <c r="P65" s="308"/>
      <c r="Q65" s="308"/>
      <c r="R65" s="308"/>
      <c r="S65" s="412">
        <v>1</v>
      </c>
    </row>
    <row r="66" spans="1:19" x14ac:dyDescent="0.25">
      <c r="A66" s="401" t="s">
        <v>187</v>
      </c>
      <c r="B66" s="309">
        <v>24139</v>
      </c>
      <c r="C66" s="309">
        <v>25309</v>
      </c>
      <c r="D66" s="317">
        <v>30118</v>
      </c>
      <c r="E66" s="317">
        <v>31274</v>
      </c>
      <c r="F66" s="317">
        <v>32669</v>
      </c>
      <c r="G66" s="309">
        <v>25728</v>
      </c>
      <c r="H66" s="309">
        <v>29093</v>
      </c>
      <c r="I66" s="309">
        <v>25958</v>
      </c>
      <c r="J66" s="317">
        <v>25115</v>
      </c>
      <c r="K66" s="318">
        <v>25767</v>
      </c>
      <c r="L66" s="417">
        <v>24695</v>
      </c>
      <c r="M66" s="309">
        <f>'[3]PIGOO DICIEMBRE 2022'!M66</f>
        <v>23732</v>
      </c>
      <c r="N66" s="309"/>
      <c r="O66" s="309"/>
      <c r="P66" s="309"/>
      <c r="Q66" s="309"/>
      <c r="R66" s="309"/>
    </row>
    <row r="67" spans="1:19" x14ac:dyDescent="0.25">
      <c r="A67" s="401" t="s">
        <v>188</v>
      </c>
      <c r="B67" s="309"/>
      <c r="C67" s="309"/>
      <c r="D67" s="317"/>
      <c r="E67" s="309"/>
      <c r="F67" s="309"/>
      <c r="G67" s="309"/>
      <c r="H67" s="309"/>
      <c r="I67" s="309"/>
      <c r="J67" s="317"/>
      <c r="K67" s="286"/>
      <c r="L67" s="309"/>
      <c r="M67" s="309">
        <f>'[3]PIGOO DICIEMBRE 2022'!M67</f>
        <v>0</v>
      </c>
      <c r="N67" s="309"/>
      <c r="O67" s="309"/>
      <c r="P67" s="309"/>
      <c r="Q67" s="309"/>
      <c r="R67" s="309"/>
    </row>
    <row r="68" spans="1:19" x14ac:dyDescent="0.25">
      <c r="A68" s="401" t="s">
        <v>189</v>
      </c>
      <c r="B68" s="309"/>
      <c r="C68" s="309"/>
      <c r="D68" s="317"/>
      <c r="E68" s="314"/>
      <c r="F68" s="314"/>
      <c r="G68" s="314"/>
      <c r="H68" s="314"/>
      <c r="I68" s="309"/>
      <c r="J68" s="317"/>
      <c r="K68" s="286"/>
      <c r="L68" s="309"/>
      <c r="M68" s="309">
        <f>'[3]PIGOO DICIEMBRE 2022'!M68</f>
        <v>0</v>
      </c>
      <c r="N68" s="309"/>
      <c r="O68" s="309"/>
      <c r="P68" s="309"/>
      <c r="Q68" s="309"/>
      <c r="R68" s="309"/>
    </row>
    <row r="69" spans="1:19" x14ac:dyDescent="0.25">
      <c r="A69" s="404" t="s">
        <v>190</v>
      </c>
      <c r="B69" s="309"/>
      <c r="C69" s="309"/>
      <c r="D69" s="317"/>
      <c r="E69" s="317"/>
      <c r="F69" s="317"/>
      <c r="G69" s="317"/>
      <c r="H69" s="317"/>
      <c r="I69" s="309"/>
      <c r="J69" s="317"/>
      <c r="K69" s="318"/>
      <c r="L69" s="309"/>
      <c r="M69" s="309">
        <f>'[3]PIGOO DICIEMBRE 2022'!M69</f>
        <v>0</v>
      </c>
      <c r="N69" s="309"/>
      <c r="O69" s="309"/>
      <c r="P69" s="309"/>
      <c r="Q69" s="309"/>
      <c r="R69" s="309"/>
    </row>
    <row r="70" spans="1:19" x14ac:dyDescent="0.25">
      <c r="A70" s="319"/>
      <c r="B70" s="320"/>
      <c r="C70" s="320"/>
      <c r="D70" s="314"/>
      <c r="E70" s="314"/>
      <c r="F70" s="320"/>
      <c r="G70" s="314"/>
      <c r="H70" s="314"/>
      <c r="I70" s="320"/>
      <c r="J70" s="314"/>
      <c r="K70" s="286"/>
      <c r="L70" s="320"/>
      <c r="M70" s="320">
        <f>'[3]PIGOO DICIEMBRE 2022'!M70</f>
        <v>0</v>
      </c>
      <c r="N70" s="320"/>
      <c r="O70" s="320"/>
      <c r="P70" s="320"/>
      <c r="Q70" s="320"/>
      <c r="R70" s="320"/>
    </row>
    <row r="71" spans="1:19" ht="15.75" x14ac:dyDescent="0.25">
      <c r="A71" s="321" t="s">
        <v>191</v>
      </c>
      <c r="B71" s="297">
        <f>+B72+B73+B74+B75+B76</f>
        <v>23612</v>
      </c>
      <c r="C71" s="297">
        <f>SUM(C72:C76)</f>
        <v>24624</v>
      </c>
      <c r="D71" s="297">
        <f>SUM(D72:D76)</f>
        <v>22674</v>
      </c>
      <c r="E71" s="297">
        <f>SUM(E72:E76)</f>
        <v>24578</v>
      </c>
      <c r="F71" s="297">
        <f>SUM(F72:F76)</f>
        <v>26089</v>
      </c>
      <c r="G71" s="297">
        <f>SUM(G72:G76)</f>
        <v>26167</v>
      </c>
      <c r="H71" s="297">
        <f t="shared" ref="H71:M71" si="37">SUM(H72:H76)</f>
        <v>24777</v>
      </c>
      <c r="I71" s="297">
        <f t="shared" si="37"/>
        <v>24861</v>
      </c>
      <c r="J71" s="297">
        <f t="shared" si="37"/>
        <v>24438</v>
      </c>
      <c r="K71" s="297">
        <f t="shared" si="37"/>
        <v>18176</v>
      </c>
      <c r="L71" s="297">
        <f t="shared" si="37"/>
        <v>18352</v>
      </c>
      <c r="M71" s="297">
        <f>'[3]PIGOO DICIEMBRE 2022'!M71</f>
        <v>23257</v>
      </c>
      <c r="N71" s="297">
        <f>SUM(N72:N76)</f>
        <v>281605</v>
      </c>
      <c r="O71" s="297"/>
      <c r="P71" s="297"/>
      <c r="Q71" s="297"/>
      <c r="R71" s="297"/>
      <c r="S71" s="412">
        <v>2</v>
      </c>
    </row>
    <row r="72" spans="1:19" x14ac:dyDescent="0.25">
      <c r="A72" s="401" t="s">
        <v>192</v>
      </c>
      <c r="B72" s="309">
        <v>22524</v>
      </c>
      <c r="C72" s="309">
        <v>22456</v>
      </c>
      <c r="D72" s="322">
        <v>21731</v>
      </c>
      <c r="E72" s="309">
        <v>22871</v>
      </c>
      <c r="F72" s="309">
        <v>24489</v>
      </c>
      <c r="G72" s="309">
        <v>24410</v>
      </c>
      <c r="H72" s="309">
        <v>23325</v>
      </c>
      <c r="I72" s="309">
        <v>23350</v>
      </c>
      <c r="J72" s="309">
        <v>23103</v>
      </c>
      <c r="K72" s="286">
        <v>16542</v>
      </c>
      <c r="L72" s="309">
        <v>16510</v>
      </c>
      <c r="M72" s="309">
        <f>'[3]PIGOO DICIEMBRE 2022'!M72</f>
        <v>21905</v>
      </c>
      <c r="N72" s="309">
        <f>SUM(B72:M72)</f>
        <v>263216</v>
      </c>
      <c r="O72" s="309"/>
      <c r="P72" s="309"/>
      <c r="Q72" s="309"/>
      <c r="R72" s="309"/>
    </row>
    <row r="73" spans="1:19" x14ac:dyDescent="0.25">
      <c r="A73" s="401" t="s">
        <v>193</v>
      </c>
      <c r="B73" s="309">
        <v>715</v>
      </c>
      <c r="C73" s="309">
        <v>492</v>
      </c>
      <c r="D73" s="322">
        <v>398</v>
      </c>
      <c r="E73" s="309">
        <v>544</v>
      </c>
      <c r="F73" s="309">
        <v>598</v>
      </c>
      <c r="G73" s="309">
        <v>731</v>
      </c>
      <c r="H73" s="309">
        <v>572</v>
      </c>
      <c r="I73" s="309">
        <v>608</v>
      </c>
      <c r="J73" s="309">
        <v>685</v>
      </c>
      <c r="K73" s="286">
        <v>816</v>
      </c>
      <c r="L73" s="309">
        <v>575</v>
      </c>
      <c r="M73" s="309">
        <f>'[3]PIGOO DICIEMBRE 2022'!M73</f>
        <v>452</v>
      </c>
      <c r="N73" s="309">
        <f>SUM(B73:M73)</f>
        <v>7186</v>
      </c>
      <c r="O73" s="309"/>
      <c r="P73" s="309"/>
      <c r="Q73" s="309"/>
      <c r="R73" s="309"/>
    </row>
    <row r="74" spans="1:19" x14ac:dyDescent="0.25">
      <c r="A74" s="401" t="s">
        <v>194</v>
      </c>
      <c r="B74" s="309"/>
      <c r="C74" s="309"/>
      <c r="D74" s="322"/>
      <c r="E74" s="309">
        <v>2</v>
      </c>
      <c r="F74" s="309">
        <v>22</v>
      </c>
      <c r="G74" s="309">
        <v>38</v>
      </c>
      <c r="H74" s="309">
        <v>9</v>
      </c>
      <c r="I74" s="309">
        <v>11</v>
      </c>
      <c r="J74" s="309">
        <v>34</v>
      </c>
      <c r="K74" s="286">
        <v>6</v>
      </c>
      <c r="L74" s="309">
        <v>6</v>
      </c>
      <c r="M74" s="309">
        <f>'[3]PIGOO DICIEMBRE 2022'!M74</f>
        <v>5</v>
      </c>
      <c r="N74" s="309">
        <f>SUM(B74:M74)</f>
        <v>133</v>
      </c>
      <c r="O74" s="309"/>
      <c r="P74" s="309"/>
      <c r="Q74" s="309"/>
      <c r="R74" s="309"/>
    </row>
    <row r="75" spans="1:19" x14ac:dyDescent="0.25">
      <c r="A75" s="401" t="s">
        <v>195</v>
      </c>
      <c r="B75" s="309">
        <v>150</v>
      </c>
      <c r="C75" s="309">
        <v>150</v>
      </c>
      <c r="D75" s="322">
        <v>0</v>
      </c>
      <c r="E75" s="309">
        <v>180</v>
      </c>
      <c r="F75" s="309">
        <v>0</v>
      </c>
      <c r="G75" s="309"/>
      <c r="H75" s="309"/>
      <c r="I75" s="309">
        <v>0</v>
      </c>
      <c r="J75" s="309">
        <v>0</v>
      </c>
      <c r="K75" s="286">
        <v>0</v>
      </c>
      <c r="L75" s="309">
        <v>0</v>
      </c>
      <c r="M75" s="309">
        <f>'[3]PIGOO DICIEMBRE 2022'!M75</f>
        <v>0</v>
      </c>
      <c r="N75" s="309">
        <f>SUM(B75:M75)</f>
        <v>480</v>
      </c>
      <c r="O75" s="309"/>
      <c r="P75" s="309"/>
      <c r="Q75" s="309"/>
      <c r="R75" s="309"/>
      <c r="S75" s="412">
        <v>22</v>
      </c>
    </row>
    <row r="76" spans="1:19" x14ac:dyDescent="0.25">
      <c r="A76" s="401" t="s">
        <v>196</v>
      </c>
      <c r="B76" s="309">
        <v>223</v>
      </c>
      <c r="C76" s="309">
        <v>1526</v>
      </c>
      <c r="D76" s="322">
        <v>545</v>
      </c>
      <c r="E76" s="309">
        <v>981</v>
      </c>
      <c r="F76" s="309">
        <v>980</v>
      </c>
      <c r="G76" s="309">
        <v>988</v>
      </c>
      <c r="H76" s="309">
        <v>871</v>
      </c>
      <c r="I76" s="309">
        <v>892</v>
      </c>
      <c r="J76" s="309">
        <v>616</v>
      </c>
      <c r="K76" s="286">
        <v>812</v>
      </c>
      <c r="L76" s="309">
        <v>1261</v>
      </c>
      <c r="M76" s="309">
        <f>'[3]PIGOO DICIEMBRE 2022'!M76</f>
        <v>895</v>
      </c>
      <c r="N76" s="309">
        <f>SUM(B76:M76)</f>
        <v>10590</v>
      </c>
      <c r="O76" s="309"/>
      <c r="P76" s="309"/>
      <c r="Q76" s="309"/>
      <c r="R76" s="309"/>
      <c r="S76" s="412">
        <v>22</v>
      </c>
    </row>
    <row r="77" spans="1:19" x14ac:dyDescent="0.25">
      <c r="A77" s="291"/>
      <c r="B77" s="309"/>
      <c r="C77" s="309"/>
      <c r="D77" s="309"/>
      <c r="E77" s="309"/>
      <c r="F77" s="309"/>
      <c r="G77" s="309"/>
      <c r="H77" s="309"/>
      <c r="I77" s="309"/>
      <c r="J77" s="309"/>
      <c r="K77" s="286"/>
      <c r="L77" s="309"/>
      <c r="M77" s="309">
        <f>'[3]PIGOO DICIEMBRE 2022'!M77</f>
        <v>0</v>
      </c>
      <c r="N77" s="309"/>
      <c r="O77" s="309"/>
      <c r="P77" s="309"/>
      <c r="Q77" s="309"/>
      <c r="R77" s="309"/>
    </row>
    <row r="78" spans="1:19" x14ac:dyDescent="0.25">
      <c r="A78" s="323"/>
      <c r="B78" s="324"/>
      <c r="C78" s="324"/>
      <c r="D78" s="324"/>
      <c r="E78" s="324"/>
      <c r="F78" s="324"/>
      <c r="G78" s="324"/>
      <c r="H78" s="324"/>
      <c r="I78" s="324"/>
      <c r="J78" s="324"/>
      <c r="K78" s="286"/>
      <c r="L78" s="324"/>
      <c r="M78" s="324">
        <f>'[3]PIGOO DICIEMBRE 2022'!M78</f>
        <v>0</v>
      </c>
      <c r="N78" s="324"/>
      <c r="O78" s="324"/>
      <c r="P78" s="324"/>
      <c r="Q78" s="324"/>
      <c r="R78" s="324"/>
    </row>
    <row r="79" spans="1:19" ht="15.75" x14ac:dyDescent="0.25">
      <c r="A79" s="321" t="s">
        <v>197</v>
      </c>
      <c r="B79" s="297">
        <f>+B80+B81</f>
        <v>16390</v>
      </c>
      <c r="C79" s="297">
        <f t="shared" ref="C79:G79" si="38">+C80+C81</f>
        <v>11545</v>
      </c>
      <c r="D79" s="297">
        <f t="shared" si="38"/>
        <v>11444</v>
      </c>
      <c r="E79" s="297">
        <f t="shared" si="38"/>
        <v>15090</v>
      </c>
      <c r="F79" s="297">
        <f t="shared" si="38"/>
        <v>14101</v>
      </c>
      <c r="G79" s="297">
        <f t="shared" si="38"/>
        <v>12965</v>
      </c>
      <c r="H79" s="297">
        <f t="shared" ref="H79:M79" si="39">SUM(H80:H81)</f>
        <v>11504</v>
      </c>
      <c r="I79" s="297">
        <f t="shared" si="39"/>
        <v>13936</v>
      </c>
      <c r="J79" s="297">
        <f t="shared" si="39"/>
        <v>11273</v>
      </c>
      <c r="K79" s="297">
        <f t="shared" si="39"/>
        <v>14720</v>
      </c>
      <c r="L79" s="297">
        <f t="shared" si="39"/>
        <v>9881</v>
      </c>
      <c r="M79" s="297">
        <f>'[3]PIGOO DICIEMBRE 2022'!M79</f>
        <v>12517</v>
      </c>
      <c r="N79" s="297">
        <f>SUM(B79:M79)</f>
        <v>155366</v>
      </c>
      <c r="O79" s="297"/>
      <c r="P79" s="297"/>
      <c r="Q79" s="297"/>
      <c r="R79" s="297"/>
    </row>
    <row r="80" spans="1:19" x14ac:dyDescent="0.25">
      <c r="A80" s="401" t="s">
        <v>198</v>
      </c>
      <c r="B80" s="309">
        <v>14276</v>
      </c>
      <c r="C80" s="309">
        <v>9758</v>
      </c>
      <c r="D80" s="309">
        <v>8919</v>
      </c>
      <c r="E80" s="309">
        <v>11302</v>
      </c>
      <c r="F80" s="309">
        <v>11109</v>
      </c>
      <c r="G80" s="309">
        <v>11146</v>
      </c>
      <c r="H80" s="309">
        <v>9251</v>
      </c>
      <c r="I80" s="309">
        <v>11187</v>
      </c>
      <c r="J80" s="309">
        <v>8942</v>
      </c>
      <c r="K80" s="286">
        <v>12248</v>
      </c>
      <c r="L80" s="309">
        <v>8118</v>
      </c>
      <c r="M80" s="309">
        <f>'[3]PIGOO DICIEMBRE 2022'!M80</f>
        <v>9206</v>
      </c>
      <c r="N80" s="309">
        <f>SUM(B80:M80)</f>
        <v>125462</v>
      </c>
      <c r="O80" s="309"/>
      <c r="P80" s="309"/>
      <c r="Q80" s="309"/>
      <c r="R80" s="309"/>
      <c r="S80" s="412">
        <v>3</v>
      </c>
    </row>
    <row r="81" spans="1:19" x14ac:dyDescent="0.25">
      <c r="A81" s="401" t="s">
        <v>199</v>
      </c>
      <c r="B81" s="309">
        <v>2114</v>
      </c>
      <c r="C81" s="309">
        <v>1787</v>
      </c>
      <c r="D81" s="309">
        <v>2525</v>
      </c>
      <c r="E81" s="309">
        <v>3788</v>
      </c>
      <c r="F81" s="309">
        <v>2992</v>
      </c>
      <c r="G81" s="309">
        <v>1819</v>
      </c>
      <c r="H81" s="309">
        <v>2253</v>
      </c>
      <c r="I81" s="309">
        <v>2749</v>
      </c>
      <c r="J81" s="309">
        <v>2331</v>
      </c>
      <c r="K81" s="286">
        <v>2472</v>
      </c>
      <c r="L81" s="309">
        <v>1763</v>
      </c>
      <c r="M81" s="309">
        <f>'[3]PIGOO DICIEMBRE 2022'!M81</f>
        <v>3311</v>
      </c>
      <c r="N81" s="309">
        <f>SUM(B81:M81)</f>
        <v>29904</v>
      </c>
      <c r="O81" s="309"/>
      <c r="P81" s="309"/>
      <c r="Q81" s="309"/>
      <c r="R81" s="309"/>
      <c r="S81" s="412">
        <v>4</v>
      </c>
    </row>
    <row r="82" spans="1:19" x14ac:dyDescent="0.25">
      <c r="A82" s="325"/>
      <c r="B82" s="326"/>
      <c r="C82" s="326"/>
      <c r="D82" s="326"/>
      <c r="E82" s="326"/>
      <c r="F82" s="326"/>
      <c r="G82" s="326"/>
      <c r="H82" s="326"/>
      <c r="I82" s="326"/>
      <c r="J82" s="326"/>
      <c r="K82" s="286"/>
      <c r="L82" s="326"/>
      <c r="M82" s="326">
        <f>'[3]PIGOO DICIEMBRE 2022'!M82</f>
        <v>0</v>
      </c>
      <c r="N82" s="326"/>
      <c r="O82" s="326"/>
      <c r="P82" s="326"/>
      <c r="Q82" s="326"/>
      <c r="R82" s="326"/>
    </row>
    <row r="83" spans="1:19" x14ac:dyDescent="0.25">
      <c r="A83" s="304" t="s">
        <v>200</v>
      </c>
      <c r="B83" s="286"/>
      <c r="C83" s="286"/>
      <c r="D83" s="286"/>
      <c r="E83" s="286"/>
      <c r="F83" s="286"/>
      <c r="G83" s="286"/>
      <c r="H83" s="286"/>
      <c r="I83" s="286"/>
      <c r="J83" s="286"/>
      <c r="K83" s="286"/>
      <c r="L83" s="286"/>
      <c r="M83" s="286">
        <f>'[3]PIGOO DICIEMBRE 2022'!M83</f>
        <v>0</v>
      </c>
      <c r="N83" s="286"/>
      <c r="O83" s="286"/>
      <c r="P83" s="286"/>
      <c r="Q83" s="286"/>
      <c r="R83" s="286"/>
    </row>
    <row r="84" spans="1:19" ht="15.75" x14ac:dyDescent="0.25">
      <c r="A84" s="327" t="s">
        <v>201</v>
      </c>
      <c r="B84" s="286"/>
      <c r="C84" s="286"/>
      <c r="D84" s="286"/>
      <c r="E84" s="286"/>
      <c r="F84" s="286"/>
      <c r="G84" s="286"/>
      <c r="H84" s="286"/>
      <c r="I84" s="286"/>
      <c r="J84" s="286"/>
      <c r="K84" s="286"/>
      <c r="L84" s="286"/>
      <c r="M84" s="286">
        <f>'[3]PIGOO DICIEMBRE 2022'!M84</f>
        <v>0</v>
      </c>
      <c r="N84" s="286"/>
      <c r="O84" s="286"/>
      <c r="P84" s="286"/>
      <c r="Q84" s="286"/>
      <c r="R84" s="286"/>
    </row>
    <row r="85" spans="1:19" x14ac:dyDescent="0.25">
      <c r="A85" s="428" t="s">
        <v>202</v>
      </c>
      <c r="B85" s="328"/>
      <c r="C85" s="328"/>
      <c r="D85" s="328"/>
      <c r="E85" s="328"/>
      <c r="F85" s="328"/>
      <c r="G85" s="328"/>
      <c r="H85" s="328"/>
      <c r="I85" s="328"/>
      <c r="J85" s="328"/>
      <c r="K85" s="328"/>
      <c r="L85" s="328"/>
      <c r="M85" s="328">
        <f>'[3]PIGOO DICIEMBRE 2022'!M85</f>
        <v>0</v>
      </c>
      <c r="N85" s="328"/>
      <c r="O85" s="328"/>
      <c r="P85" s="328"/>
      <c r="Q85" s="328"/>
      <c r="R85" s="328"/>
    </row>
    <row r="86" spans="1:19" x14ac:dyDescent="0.25">
      <c r="A86" s="428" t="s">
        <v>203</v>
      </c>
      <c r="B86" s="328"/>
      <c r="C86" s="328"/>
      <c r="D86" s="328"/>
      <c r="E86" s="328"/>
      <c r="F86" s="328"/>
      <c r="G86" s="328"/>
      <c r="H86" s="328"/>
      <c r="I86" s="328"/>
      <c r="J86" s="328"/>
      <c r="K86" s="328"/>
      <c r="L86" s="328"/>
      <c r="M86" s="328">
        <f>'[3]PIGOO DICIEMBRE 2022'!M86</f>
        <v>0</v>
      </c>
      <c r="N86" s="328"/>
      <c r="O86" s="328"/>
      <c r="P86" s="328"/>
      <c r="Q86" s="328"/>
      <c r="R86" s="328"/>
    </row>
    <row r="87" spans="1:19" x14ac:dyDescent="0.25">
      <c r="A87" s="427" t="s">
        <v>204</v>
      </c>
      <c r="B87" s="309"/>
      <c r="C87" s="309"/>
      <c r="D87" s="309"/>
      <c r="E87" s="309"/>
      <c r="F87" s="309"/>
      <c r="G87" s="309"/>
      <c r="H87" s="310"/>
      <c r="I87" s="309"/>
      <c r="J87" s="309"/>
      <c r="K87" s="286"/>
      <c r="L87" s="309"/>
      <c r="M87" s="309">
        <f>'[3]PIGOO DICIEMBRE 2022'!M87</f>
        <v>0</v>
      </c>
      <c r="N87" s="309"/>
      <c r="O87" s="309"/>
      <c r="P87" s="309"/>
      <c r="Q87" s="309"/>
      <c r="R87" s="309"/>
    </row>
    <row r="88" spans="1:19" x14ac:dyDescent="0.25">
      <c r="A88" s="427" t="s">
        <v>205</v>
      </c>
      <c r="B88" s="309">
        <v>0</v>
      </c>
      <c r="C88" s="309">
        <v>0</v>
      </c>
      <c r="D88" s="309">
        <v>0</v>
      </c>
      <c r="E88" s="309">
        <v>0</v>
      </c>
      <c r="F88" s="309">
        <v>0</v>
      </c>
      <c r="G88" s="309">
        <v>0</v>
      </c>
      <c r="H88" s="309">
        <v>0</v>
      </c>
      <c r="I88" s="309">
        <v>0</v>
      </c>
      <c r="J88" s="309">
        <v>0</v>
      </c>
      <c r="K88" s="286">
        <v>0</v>
      </c>
      <c r="L88" s="309">
        <v>0</v>
      </c>
      <c r="M88" s="309">
        <f>'[3]PIGOO DICIEMBRE 2022'!M88</f>
        <v>0</v>
      </c>
      <c r="N88" s="309"/>
      <c r="O88" s="309"/>
      <c r="P88" s="309"/>
      <c r="Q88" s="309"/>
      <c r="R88" s="309"/>
    </row>
    <row r="89" spans="1:19" x14ac:dyDescent="0.25">
      <c r="A89" s="329" t="s">
        <v>206</v>
      </c>
      <c r="B89" s="309">
        <f>+B86-B87-B88</f>
        <v>0</v>
      </c>
      <c r="C89" s="309">
        <f>+C86-C87-C88</f>
        <v>0</v>
      </c>
      <c r="D89" s="309">
        <f t="shared" ref="D89:M89" si="40">+D86-D87-D88</f>
        <v>0</v>
      </c>
      <c r="E89" s="309">
        <f t="shared" si="40"/>
        <v>0</v>
      </c>
      <c r="F89" s="309">
        <f t="shared" si="40"/>
        <v>0</v>
      </c>
      <c r="G89" s="309">
        <f t="shared" si="40"/>
        <v>0</v>
      </c>
      <c r="H89" s="309">
        <f t="shared" si="40"/>
        <v>0</v>
      </c>
      <c r="I89" s="309">
        <f t="shared" si="40"/>
        <v>0</v>
      </c>
      <c r="J89" s="309">
        <f t="shared" si="40"/>
        <v>0</v>
      </c>
      <c r="K89" s="309">
        <f t="shared" si="40"/>
        <v>0</v>
      </c>
      <c r="L89" s="309">
        <f t="shared" si="40"/>
        <v>0</v>
      </c>
      <c r="M89" s="309">
        <f>'[3]PIGOO DICIEMBRE 2022'!M89</f>
        <v>0</v>
      </c>
      <c r="N89" s="309"/>
      <c r="O89" s="309"/>
      <c r="P89" s="309"/>
      <c r="Q89" s="309"/>
      <c r="R89" s="309"/>
    </row>
    <row r="90" spans="1:19" x14ac:dyDescent="0.25">
      <c r="A90" s="329"/>
      <c r="B90" s="309"/>
      <c r="C90" s="309"/>
      <c r="D90" s="309"/>
      <c r="E90" s="309"/>
      <c r="F90" s="309"/>
      <c r="G90" s="309"/>
      <c r="H90" s="309"/>
      <c r="I90" s="309"/>
      <c r="J90" s="309"/>
      <c r="K90" s="286"/>
      <c r="L90" s="309"/>
      <c r="M90" s="309">
        <f>'[3]PIGOO DICIEMBRE 2022'!M90</f>
        <v>0</v>
      </c>
      <c r="N90" s="309"/>
      <c r="O90" s="309"/>
      <c r="P90" s="309"/>
      <c r="Q90" s="309"/>
      <c r="R90" s="309"/>
    </row>
    <row r="91" spans="1:19" x14ac:dyDescent="0.25">
      <c r="A91" s="304" t="s">
        <v>114</v>
      </c>
      <c r="B91" s="330"/>
      <c r="C91" s="330"/>
      <c r="D91" s="330"/>
      <c r="E91" s="330"/>
      <c r="F91" s="330"/>
      <c r="G91" s="330"/>
      <c r="H91" s="330"/>
      <c r="I91" s="330"/>
      <c r="J91" s="330"/>
      <c r="K91" s="286"/>
      <c r="L91" s="330"/>
      <c r="M91" s="330">
        <f>'[3]PIGOO DICIEMBRE 2022'!M91</f>
        <v>0</v>
      </c>
      <c r="N91" s="330"/>
      <c r="O91" s="330"/>
      <c r="P91" s="330"/>
      <c r="Q91" s="330"/>
      <c r="R91" s="330"/>
    </row>
    <row r="92" spans="1:19" ht="15.75" x14ac:dyDescent="0.25">
      <c r="A92" s="321" t="s">
        <v>207</v>
      </c>
      <c r="B92" s="297">
        <f t="shared" ref="B92:I92" si="41">SUM(B93:B97)</f>
        <v>182261.65</v>
      </c>
      <c r="C92" s="297">
        <f t="shared" si="41"/>
        <v>213714.52</v>
      </c>
      <c r="D92" s="297">
        <f t="shared" si="41"/>
        <v>180445.17</v>
      </c>
      <c r="E92" s="297">
        <f t="shared" si="41"/>
        <v>201028.13999999998</v>
      </c>
      <c r="F92" s="297">
        <f t="shared" si="41"/>
        <v>227396.71000000002</v>
      </c>
      <c r="G92" s="297">
        <f t="shared" si="41"/>
        <v>223156.40999999997</v>
      </c>
      <c r="H92" s="297">
        <f t="shared" si="41"/>
        <v>207777.12</v>
      </c>
      <c r="I92" s="297">
        <f t="shared" si="41"/>
        <v>215547.3</v>
      </c>
      <c r="J92" s="297">
        <f t="shared" ref="J92:M92" si="42">SUM(J93:J97)</f>
        <v>269761.62</v>
      </c>
      <c r="K92" s="297">
        <f t="shared" si="42"/>
        <v>214734.18</v>
      </c>
      <c r="L92" s="297">
        <f t="shared" si="42"/>
        <v>219390.97</v>
      </c>
      <c r="M92" s="297">
        <f>'[3]PIGOO DICIEMBRE 2022'!M92</f>
        <v>204079.53</v>
      </c>
      <c r="N92" s="297"/>
      <c r="O92" s="297"/>
      <c r="P92" s="297"/>
      <c r="Q92" s="297"/>
      <c r="R92" s="297"/>
    </row>
    <row r="93" spans="1:19" x14ac:dyDescent="0.25">
      <c r="A93" s="401" t="s">
        <v>192</v>
      </c>
      <c r="B93" s="309">
        <v>156229.26</v>
      </c>
      <c r="C93" s="309">
        <v>157045.09</v>
      </c>
      <c r="D93" s="309">
        <v>155100.64000000001</v>
      </c>
      <c r="E93" s="309">
        <v>164228.75</v>
      </c>
      <c r="F93" s="309">
        <v>190559.72</v>
      </c>
      <c r="G93" s="309">
        <v>184291.46</v>
      </c>
      <c r="H93" s="309">
        <v>173852.4</v>
      </c>
      <c r="I93" s="309">
        <v>177095.59</v>
      </c>
      <c r="J93" s="309">
        <v>237135.56</v>
      </c>
      <c r="K93" s="309">
        <v>171436.4</v>
      </c>
      <c r="L93" s="309">
        <v>171345.52</v>
      </c>
      <c r="M93" s="309">
        <f>'[3]PIGOO DICIEMBRE 2022'!M93</f>
        <v>166084.63</v>
      </c>
      <c r="N93" s="309"/>
      <c r="O93" s="309"/>
      <c r="P93" s="309"/>
      <c r="Q93" s="309"/>
      <c r="R93" s="309"/>
      <c r="S93" s="412">
        <v>5</v>
      </c>
    </row>
    <row r="94" spans="1:19" x14ac:dyDescent="0.25">
      <c r="A94" s="401" t="s">
        <v>193</v>
      </c>
      <c r="B94" s="309">
        <v>12081.82</v>
      </c>
      <c r="C94" s="309">
        <v>9835</v>
      </c>
      <c r="D94" s="309">
        <v>9345.4599999999991</v>
      </c>
      <c r="E94" s="309">
        <v>10842.24</v>
      </c>
      <c r="F94" s="309">
        <v>11003.2</v>
      </c>
      <c r="G94" s="309">
        <v>12848.15</v>
      </c>
      <c r="H94" s="309">
        <v>11942.79</v>
      </c>
      <c r="I94" s="309">
        <v>12044.75</v>
      </c>
      <c r="J94" s="309">
        <v>14025.67</v>
      </c>
      <c r="K94" s="309">
        <v>19549.400000000001</v>
      </c>
      <c r="L94" s="309">
        <v>12550.17</v>
      </c>
      <c r="M94" s="309">
        <f>'[3]PIGOO DICIEMBRE 2022'!M94</f>
        <v>10901.27</v>
      </c>
      <c r="N94" s="309"/>
      <c r="O94" s="309"/>
      <c r="P94" s="309"/>
      <c r="Q94" s="309"/>
      <c r="R94" s="309"/>
      <c r="S94" s="412">
        <v>5</v>
      </c>
    </row>
    <row r="95" spans="1:19" x14ac:dyDescent="0.25">
      <c r="A95" s="401" t="s">
        <v>194</v>
      </c>
      <c r="B95" s="309"/>
      <c r="C95" s="309"/>
      <c r="D95" s="309"/>
      <c r="E95" s="309"/>
      <c r="F95" s="309">
        <v>350.23</v>
      </c>
      <c r="G95" s="309">
        <v>868.12</v>
      </c>
      <c r="H95" s="309">
        <v>354.46</v>
      </c>
      <c r="I95" s="309">
        <v>356.58</v>
      </c>
      <c r="J95" s="309">
        <v>763.44</v>
      </c>
      <c r="K95" s="309">
        <v>360.87</v>
      </c>
      <c r="L95" s="309">
        <v>363.04</v>
      </c>
      <c r="M95" s="309">
        <f>'[3]PIGOO DICIEMBRE 2022'!M95</f>
        <v>365.23</v>
      </c>
      <c r="N95" s="309"/>
      <c r="O95" s="309"/>
      <c r="P95" s="309"/>
      <c r="Q95" s="309"/>
      <c r="R95" s="309"/>
      <c r="S95" s="412">
        <v>5</v>
      </c>
    </row>
    <row r="96" spans="1:19" x14ac:dyDescent="0.25">
      <c r="A96" s="401" t="s">
        <v>195</v>
      </c>
      <c r="B96" s="309">
        <v>2658.3</v>
      </c>
      <c r="C96" s="309">
        <v>2674.25</v>
      </c>
      <c r="D96" s="309">
        <v>1399.45</v>
      </c>
      <c r="E96" s="309">
        <v>3130.71</v>
      </c>
      <c r="F96" s="309">
        <v>1416.3</v>
      </c>
      <c r="G96" s="309">
        <v>1424.72</v>
      </c>
      <c r="H96" s="309">
        <v>1433.35</v>
      </c>
      <c r="I96" s="309">
        <v>1441.9</v>
      </c>
      <c r="J96" s="309">
        <v>1450.6</v>
      </c>
      <c r="K96" s="309">
        <v>1459.25</v>
      </c>
      <c r="L96" s="309">
        <v>1468.05</v>
      </c>
      <c r="M96" s="309">
        <f>'[3]PIGOO DICIEMBRE 2022'!M96</f>
        <v>1476.9</v>
      </c>
      <c r="N96" s="309"/>
      <c r="O96" s="309"/>
      <c r="P96" s="309"/>
      <c r="Q96" s="309"/>
      <c r="R96" s="309"/>
      <c r="S96" s="412">
        <v>6</v>
      </c>
    </row>
    <row r="97" spans="1:19" x14ac:dyDescent="0.25">
      <c r="A97" s="401" t="s">
        <v>196</v>
      </c>
      <c r="B97" s="309">
        <v>11292.27</v>
      </c>
      <c r="C97" s="309">
        <v>44160.18</v>
      </c>
      <c r="D97" s="309">
        <v>14599.62</v>
      </c>
      <c r="E97" s="309">
        <v>22826.44</v>
      </c>
      <c r="F97" s="309">
        <v>24067.26</v>
      </c>
      <c r="G97" s="309">
        <v>23723.96</v>
      </c>
      <c r="H97" s="309">
        <v>20194.12</v>
      </c>
      <c r="I97" s="309">
        <v>24608.48</v>
      </c>
      <c r="J97" s="309">
        <v>16386.349999999999</v>
      </c>
      <c r="K97" s="309">
        <v>21928.26</v>
      </c>
      <c r="L97" s="309">
        <v>33664.19</v>
      </c>
      <c r="M97" s="309">
        <f>'[3]PIGOO DICIEMBRE 2022'!M97</f>
        <v>25251.5</v>
      </c>
      <c r="N97" s="309"/>
      <c r="O97" s="309"/>
      <c r="P97" s="309"/>
      <c r="Q97" s="309"/>
      <c r="R97" s="309"/>
      <c r="S97" s="412">
        <v>6</v>
      </c>
    </row>
    <row r="98" spans="1:19" x14ac:dyDescent="0.25">
      <c r="A98" s="331"/>
      <c r="B98" s="332"/>
      <c r="C98" s="332"/>
      <c r="D98" s="332"/>
      <c r="E98" s="332"/>
      <c r="F98" s="332"/>
      <c r="G98" s="332"/>
      <c r="H98" s="332"/>
      <c r="I98" s="332"/>
      <c r="J98" s="332"/>
      <c r="K98" s="332"/>
      <c r="L98" s="332"/>
      <c r="M98" s="332">
        <f>'[3]PIGOO DICIEMBRE 2022'!M98</f>
        <v>0</v>
      </c>
      <c r="N98" s="332"/>
      <c r="O98" s="332"/>
      <c r="P98" s="332"/>
      <c r="Q98" s="332"/>
      <c r="R98" s="332"/>
    </row>
    <row r="99" spans="1:19" ht="15.75" x14ac:dyDescent="0.25">
      <c r="A99" s="321" t="s">
        <v>208</v>
      </c>
      <c r="B99" s="297">
        <f>+B100+B101+B102+B103+B104</f>
        <v>374098.6</v>
      </c>
      <c r="C99" s="297">
        <f>+C100+C101+C102+C103+C104</f>
        <v>113467.78</v>
      </c>
      <c r="D99" s="297">
        <f>+D100+D101+D102+D103+D104</f>
        <v>237754.47999999998</v>
      </c>
      <c r="E99" s="297">
        <f t="shared" ref="E99:F99" si="43">+E100+E101+E102+E103+E104</f>
        <v>202094.74</v>
      </c>
      <c r="F99" s="297">
        <f t="shared" si="43"/>
        <v>88535</v>
      </c>
      <c r="G99" s="297">
        <f>SUM(G100:G104)</f>
        <v>108699.11</v>
      </c>
      <c r="H99" s="297">
        <f>SUM(H100:H104)</f>
        <v>99430.18</v>
      </c>
      <c r="I99" s="297">
        <f t="shared" ref="I99:M99" si="44">+I100+I101+I102+I103+I104</f>
        <v>106552.3</v>
      </c>
      <c r="J99" s="297">
        <f t="shared" si="44"/>
        <v>115297.18</v>
      </c>
      <c r="K99" s="297">
        <f t="shared" si="44"/>
        <v>181312.33000000002</v>
      </c>
      <c r="L99" s="297">
        <f t="shared" si="44"/>
        <v>123985.96</v>
      </c>
      <c r="M99" s="297">
        <f>'[3]PIGOO DICIEMBRE 2022'!M99</f>
        <v>185224.82</v>
      </c>
      <c r="N99" s="297"/>
      <c r="O99" s="297"/>
      <c r="P99" s="297"/>
      <c r="Q99" s="297"/>
      <c r="R99" s="297"/>
    </row>
    <row r="100" spans="1:19" ht="14.25" customHeight="1" x14ac:dyDescent="0.25">
      <c r="A100" s="401" t="s">
        <v>192</v>
      </c>
      <c r="B100" s="309">
        <v>347787.41</v>
      </c>
      <c r="C100" s="309">
        <v>107394.77</v>
      </c>
      <c r="D100" s="309">
        <v>172555.99</v>
      </c>
      <c r="E100" s="309">
        <v>168721.05</v>
      </c>
      <c r="F100" s="309">
        <v>81999</v>
      </c>
      <c r="G100" s="309">
        <v>79216.820000000007</v>
      </c>
      <c r="H100" s="309">
        <v>68661.34</v>
      </c>
      <c r="I100" s="309">
        <v>74489</v>
      </c>
      <c r="J100" s="309">
        <v>105151.84</v>
      </c>
      <c r="K100" s="309">
        <v>128682.79</v>
      </c>
      <c r="L100" s="309">
        <v>113070.63</v>
      </c>
      <c r="M100" s="309">
        <f>'[3]PIGOO DICIEMBRE 2022'!M100</f>
        <v>142600.76</v>
      </c>
      <c r="N100" s="309"/>
      <c r="O100" s="309"/>
      <c r="P100" s="309"/>
      <c r="Q100" s="309"/>
      <c r="R100" s="309"/>
    </row>
    <row r="101" spans="1:19" x14ac:dyDescent="0.25">
      <c r="A101" s="401" t="s">
        <v>193</v>
      </c>
      <c r="B101" s="309">
        <v>12828.93</v>
      </c>
      <c r="C101" s="309">
        <v>5797.58</v>
      </c>
      <c r="D101" s="309">
        <v>7826.41</v>
      </c>
      <c r="E101" s="309">
        <v>10480.67</v>
      </c>
      <c r="F101" s="309">
        <v>6185</v>
      </c>
      <c r="G101" s="309">
        <v>5414.29</v>
      </c>
      <c r="H101" s="309">
        <v>10574.72</v>
      </c>
      <c r="I101" s="309">
        <v>7454.82</v>
      </c>
      <c r="J101" s="309">
        <v>10145.34</v>
      </c>
      <c r="K101" s="309">
        <v>12840.45</v>
      </c>
      <c r="L101" s="309">
        <v>10915.33</v>
      </c>
      <c r="M101" s="309">
        <f>'[3]PIGOO DICIEMBRE 2022'!M101</f>
        <v>7984.36</v>
      </c>
      <c r="N101" s="309"/>
      <c r="O101" s="309"/>
      <c r="P101" s="309"/>
      <c r="Q101" s="309"/>
      <c r="R101" s="309"/>
    </row>
    <row r="102" spans="1:19" x14ac:dyDescent="0.25">
      <c r="A102" s="401" t="s">
        <v>194</v>
      </c>
      <c r="B102" s="309"/>
      <c r="C102" s="309"/>
      <c r="D102" s="309"/>
      <c r="E102" s="309">
        <v>348.15</v>
      </c>
      <c r="F102" s="309">
        <v>351</v>
      </c>
      <c r="G102" s="309"/>
      <c r="H102" s="309">
        <v>0</v>
      </c>
      <c r="I102" s="309"/>
      <c r="J102" s="309">
        <v>0</v>
      </c>
      <c r="K102" s="286">
        <v>1474.48</v>
      </c>
      <c r="L102" s="309"/>
      <c r="M102" s="309">
        <f>'[3]PIGOO DICIEMBRE 2022'!M102</f>
        <v>723.91</v>
      </c>
      <c r="N102" s="309"/>
      <c r="O102" s="309"/>
      <c r="P102" s="309"/>
      <c r="Q102" s="309"/>
      <c r="R102" s="309"/>
    </row>
    <row r="103" spans="1:19" x14ac:dyDescent="0.25">
      <c r="A103" s="401" t="s">
        <v>195</v>
      </c>
      <c r="B103" s="309"/>
      <c r="C103" s="309"/>
      <c r="D103" s="309"/>
      <c r="E103" s="309"/>
      <c r="F103" s="309"/>
      <c r="G103" s="309"/>
      <c r="H103" s="309"/>
      <c r="I103" s="309"/>
      <c r="J103" s="309">
        <v>0</v>
      </c>
      <c r="K103" s="286"/>
      <c r="L103" s="309"/>
      <c r="M103" s="309">
        <f>'[3]PIGOO DICIEMBRE 2022'!M103</f>
        <v>0</v>
      </c>
      <c r="N103" s="309"/>
      <c r="O103" s="309"/>
      <c r="P103" s="309"/>
      <c r="Q103" s="309"/>
      <c r="R103" s="309"/>
      <c r="S103" s="412">
        <v>7</v>
      </c>
    </row>
    <row r="104" spans="1:19" x14ac:dyDescent="0.25">
      <c r="A104" s="401" t="s">
        <v>196</v>
      </c>
      <c r="B104" s="309">
        <v>13482.26</v>
      </c>
      <c r="C104" s="309">
        <v>275.43</v>
      </c>
      <c r="D104" s="309">
        <v>57372.08</v>
      </c>
      <c r="E104" s="309">
        <v>22544.87</v>
      </c>
      <c r="F104" s="309"/>
      <c r="G104" s="309">
        <v>24068</v>
      </c>
      <c r="H104" s="309">
        <v>20194.12</v>
      </c>
      <c r="I104" s="309">
        <v>24608.48</v>
      </c>
      <c r="J104" s="309">
        <v>0</v>
      </c>
      <c r="K104" s="286">
        <v>38314.61</v>
      </c>
      <c r="L104" s="309">
        <v>0</v>
      </c>
      <c r="M104" s="309">
        <f>'[3]PIGOO DICIEMBRE 2022'!M104</f>
        <v>33915.79</v>
      </c>
      <c r="N104" s="309"/>
      <c r="O104" s="309"/>
      <c r="P104" s="309"/>
      <c r="Q104" s="309"/>
      <c r="R104" s="309"/>
      <c r="S104" s="412">
        <v>7</v>
      </c>
    </row>
    <row r="105" spans="1:19" x14ac:dyDescent="0.25">
      <c r="A105" s="333"/>
      <c r="B105" s="310"/>
      <c r="C105" s="310"/>
      <c r="D105" s="310"/>
      <c r="E105" s="310"/>
      <c r="F105" s="310"/>
      <c r="G105" s="310"/>
      <c r="H105" s="310"/>
      <c r="I105" s="310"/>
      <c r="J105" s="310">
        <v>0</v>
      </c>
      <c r="K105" s="286"/>
      <c r="L105" s="310"/>
      <c r="M105" s="310">
        <f>'[3]PIGOO DICIEMBRE 2022'!M105</f>
        <v>0</v>
      </c>
      <c r="N105" s="310"/>
      <c r="O105" s="310"/>
      <c r="P105" s="310"/>
      <c r="Q105" s="310"/>
      <c r="R105" s="310"/>
    </row>
    <row r="106" spans="1:19" x14ac:dyDescent="0.25">
      <c r="A106" s="401" t="s">
        <v>303</v>
      </c>
      <c r="B106" s="309"/>
      <c r="C106" s="309"/>
      <c r="D106" s="309"/>
      <c r="E106" s="309"/>
      <c r="F106" s="309"/>
      <c r="G106" s="309"/>
      <c r="H106" s="309"/>
      <c r="I106" s="309"/>
      <c r="J106" s="309">
        <v>0</v>
      </c>
      <c r="K106" s="286"/>
      <c r="L106" s="309"/>
      <c r="M106" s="309">
        <f>'[3]PIGOO DICIEMBRE 2022'!M106</f>
        <v>0</v>
      </c>
      <c r="N106" s="309"/>
      <c r="O106" s="309"/>
      <c r="P106" s="309"/>
      <c r="Q106" s="309"/>
      <c r="R106" s="309"/>
      <c r="S106" s="412">
        <v>10</v>
      </c>
    </row>
    <row r="107" spans="1:19" x14ac:dyDescent="0.25">
      <c r="A107" s="401" t="s">
        <v>209</v>
      </c>
      <c r="B107" s="309"/>
      <c r="C107" s="309"/>
      <c r="D107" s="309"/>
      <c r="E107" s="309"/>
      <c r="F107" s="309"/>
      <c r="G107" s="309"/>
      <c r="H107" s="309"/>
      <c r="I107" s="309"/>
      <c r="J107" s="309">
        <v>0</v>
      </c>
      <c r="K107" s="286"/>
      <c r="L107" s="309"/>
      <c r="M107" s="309">
        <f>'[3]PIGOO DICIEMBRE 2022'!M107</f>
        <v>0</v>
      </c>
      <c r="N107" s="309"/>
      <c r="O107" s="309"/>
      <c r="P107" s="309"/>
      <c r="Q107" s="309"/>
      <c r="R107" s="309"/>
      <c r="S107" s="412">
        <v>11</v>
      </c>
    </row>
    <row r="108" spans="1:19" x14ac:dyDescent="0.25">
      <c r="A108" s="401" t="s">
        <v>210</v>
      </c>
      <c r="B108" s="309"/>
      <c r="C108" s="309"/>
      <c r="D108" s="309"/>
      <c r="E108" s="309"/>
      <c r="F108" s="309"/>
      <c r="G108" s="309"/>
      <c r="H108" s="310"/>
      <c r="I108" s="309"/>
      <c r="J108" s="310">
        <v>0</v>
      </c>
      <c r="K108" s="286"/>
      <c r="L108" s="309"/>
      <c r="M108" s="309">
        <f>'[3]PIGOO DICIEMBRE 2022'!M108</f>
        <v>0</v>
      </c>
      <c r="N108" s="309"/>
      <c r="O108" s="309"/>
      <c r="P108" s="309"/>
      <c r="Q108" s="309"/>
      <c r="R108" s="309"/>
      <c r="S108" s="412">
        <v>12</v>
      </c>
    </row>
    <row r="109" spans="1:19" x14ac:dyDescent="0.25">
      <c r="A109" s="334" t="s">
        <v>211</v>
      </c>
      <c r="B109" s="335"/>
      <c r="C109" s="335"/>
      <c r="D109" s="335"/>
      <c r="E109" s="335"/>
      <c r="F109" s="335"/>
      <c r="G109" s="335"/>
      <c r="H109" s="335"/>
      <c r="I109" s="335"/>
      <c r="J109" s="335">
        <v>0</v>
      </c>
      <c r="K109" s="286"/>
      <c r="L109" s="335"/>
      <c r="M109" s="335">
        <f>'[3]PIGOO DICIEMBRE 2022'!M109</f>
        <v>0</v>
      </c>
      <c r="N109" s="335"/>
      <c r="O109" s="335"/>
      <c r="P109" s="335"/>
      <c r="Q109" s="335"/>
      <c r="R109" s="335"/>
    </row>
    <row r="110" spans="1:19" x14ac:dyDescent="0.25">
      <c r="A110" s="304" t="s">
        <v>212</v>
      </c>
      <c r="B110" s="318"/>
      <c r="C110" s="318"/>
      <c r="D110" s="318"/>
      <c r="E110" s="318"/>
      <c r="F110" s="318"/>
      <c r="G110" s="318"/>
      <c r="H110" s="318"/>
      <c r="I110" s="318"/>
      <c r="J110" s="318"/>
      <c r="K110" s="318"/>
      <c r="L110" s="318"/>
      <c r="M110" s="318">
        <f>'[3]PIGOO DICIEMBRE 2022'!M110</f>
        <v>0</v>
      </c>
      <c r="N110" s="318"/>
      <c r="O110" s="318"/>
      <c r="P110" s="318"/>
      <c r="Q110" s="318"/>
      <c r="R110" s="318"/>
    </row>
    <row r="111" spans="1:19" ht="15.75" x14ac:dyDescent="0.25">
      <c r="A111" s="294" t="s">
        <v>213</v>
      </c>
      <c r="B111" s="336">
        <f>+B112+B118</f>
        <v>1177</v>
      </c>
      <c r="C111" s="336">
        <f>+C112+C118</f>
        <v>1080</v>
      </c>
      <c r="D111" s="336">
        <f>+D112+D118</f>
        <v>1080</v>
      </c>
      <c r="E111" s="336">
        <v>1080</v>
      </c>
      <c r="F111" s="336">
        <f>F112+F118</f>
        <v>1086</v>
      </c>
      <c r="G111" s="336">
        <f>G112+G118</f>
        <v>1087</v>
      </c>
      <c r="H111" s="336">
        <f>H112+H118</f>
        <v>1088</v>
      </c>
      <c r="I111" s="336">
        <f t="shared" ref="I111:M111" si="45">I112+I118</f>
        <v>1091</v>
      </c>
      <c r="J111" s="336">
        <f t="shared" si="45"/>
        <v>1095</v>
      </c>
      <c r="K111" s="336">
        <f t="shared" si="45"/>
        <v>1097</v>
      </c>
      <c r="L111" s="336">
        <f t="shared" si="45"/>
        <v>1097</v>
      </c>
      <c r="M111" s="336">
        <f>'[3]PIGOO DICIEMBRE 2022'!M111</f>
        <v>1096</v>
      </c>
      <c r="N111" s="336"/>
      <c r="O111" s="336"/>
      <c r="P111" s="336"/>
      <c r="Q111" s="336"/>
      <c r="R111" s="336"/>
      <c r="S111" s="412">
        <v>14</v>
      </c>
    </row>
    <row r="112" spans="1:19" x14ac:dyDescent="0.25">
      <c r="A112" s="337" t="s">
        <v>214</v>
      </c>
      <c r="B112" s="338">
        <f>+B113+B114+B115+B116+B117</f>
        <v>362</v>
      </c>
      <c r="C112" s="338">
        <f t="shared" ref="C112" si="46">+C113+C114+C115+C116+C117</f>
        <v>370</v>
      </c>
      <c r="D112" s="338">
        <f>+D113+D114+D115+D116+D117</f>
        <v>370</v>
      </c>
      <c r="E112" s="338">
        <f>+E113+E114+E115+E116+E117</f>
        <v>374</v>
      </c>
      <c r="F112" s="338">
        <f>SUM(F113:F117)</f>
        <v>377</v>
      </c>
      <c r="G112" s="338">
        <f>SUM(G113:G117)</f>
        <v>378</v>
      </c>
      <c r="H112" s="338">
        <f>SUM(H113:H117)</f>
        <v>379</v>
      </c>
      <c r="I112" s="338">
        <f t="shared" ref="I112:M112" si="47">SUM(I113:I117)</f>
        <v>383</v>
      </c>
      <c r="J112" s="338">
        <f t="shared" si="47"/>
        <v>391</v>
      </c>
      <c r="K112" s="338">
        <f t="shared" si="47"/>
        <v>393</v>
      </c>
      <c r="L112" s="338">
        <f t="shared" si="47"/>
        <v>393</v>
      </c>
      <c r="M112" s="338">
        <f>'[3]PIGOO DICIEMBRE 2022'!M112</f>
        <v>393</v>
      </c>
      <c r="N112" s="338"/>
      <c r="O112" s="338"/>
      <c r="P112" s="338"/>
      <c r="Q112" s="338"/>
      <c r="R112" s="338"/>
    </row>
    <row r="113" spans="1:18" x14ac:dyDescent="0.25">
      <c r="A113" s="400" t="s">
        <v>215</v>
      </c>
      <c r="B113" s="317">
        <v>282</v>
      </c>
      <c r="C113" s="317">
        <v>289</v>
      </c>
      <c r="D113" s="317">
        <v>289</v>
      </c>
      <c r="E113" s="317">
        <v>292</v>
      </c>
      <c r="F113" s="317">
        <v>295</v>
      </c>
      <c r="G113" s="317">
        <v>295</v>
      </c>
      <c r="H113" s="317">
        <v>297</v>
      </c>
      <c r="I113" s="317">
        <v>301</v>
      </c>
      <c r="J113" s="317">
        <v>310</v>
      </c>
      <c r="K113" s="317">
        <v>312</v>
      </c>
      <c r="L113" s="317">
        <v>312</v>
      </c>
      <c r="M113" s="317">
        <f>'[3]PIGOO DICIEMBRE 2022'!M113</f>
        <v>312</v>
      </c>
      <c r="N113" s="317"/>
      <c r="O113" s="317"/>
      <c r="P113" s="317"/>
      <c r="Q113" s="317"/>
      <c r="R113" s="317"/>
    </row>
    <row r="114" spans="1:18" x14ac:dyDescent="0.25">
      <c r="A114" s="400" t="s">
        <v>216</v>
      </c>
      <c r="B114" s="317">
        <v>42</v>
      </c>
      <c r="C114" s="317">
        <v>43</v>
      </c>
      <c r="D114" s="317">
        <v>43</v>
      </c>
      <c r="E114" s="317">
        <v>47</v>
      </c>
      <c r="F114" s="317">
        <v>47</v>
      </c>
      <c r="G114" s="317">
        <v>48</v>
      </c>
      <c r="H114" s="317">
        <v>47</v>
      </c>
      <c r="I114" s="317">
        <v>47</v>
      </c>
      <c r="J114" s="317">
        <v>46</v>
      </c>
      <c r="K114" s="317">
        <v>46</v>
      </c>
      <c r="L114" s="317">
        <v>46</v>
      </c>
      <c r="M114" s="317">
        <f>'[3]PIGOO DICIEMBRE 2022'!M114</f>
        <v>46</v>
      </c>
      <c r="N114" s="317"/>
      <c r="O114" s="317"/>
      <c r="P114" s="317"/>
      <c r="Q114" s="317"/>
      <c r="R114" s="317"/>
    </row>
    <row r="115" spans="1:18" x14ac:dyDescent="0.25">
      <c r="A115" s="400" t="s">
        <v>217</v>
      </c>
      <c r="B115" s="317"/>
      <c r="C115" s="317"/>
      <c r="D115" s="317"/>
      <c r="E115" s="317"/>
      <c r="F115" s="317">
        <v>1</v>
      </c>
      <c r="G115" s="317">
        <v>1</v>
      </c>
      <c r="H115" s="317">
        <v>1</v>
      </c>
      <c r="I115" s="317">
        <v>1</v>
      </c>
      <c r="J115" s="317">
        <v>1</v>
      </c>
      <c r="K115" s="317">
        <v>1</v>
      </c>
      <c r="L115" s="317">
        <v>1</v>
      </c>
      <c r="M115" s="317">
        <f>'[3]PIGOO DICIEMBRE 2022'!M115</f>
        <v>1</v>
      </c>
      <c r="N115" s="317"/>
      <c r="O115" s="317"/>
      <c r="P115" s="317"/>
      <c r="Q115" s="317"/>
      <c r="R115" s="317"/>
    </row>
    <row r="116" spans="1:18" x14ac:dyDescent="0.25">
      <c r="A116" s="400" t="s">
        <v>218</v>
      </c>
      <c r="B116" s="317">
        <v>5</v>
      </c>
      <c r="C116" s="317">
        <v>5</v>
      </c>
      <c r="D116" s="317">
        <v>5</v>
      </c>
      <c r="E116" s="317">
        <v>5</v>
      </c>
      <c r="F116" s="317">
        <v>5</v>
      </c>
      <c r="G116" s="317">
        <v>5</v>
      </c>
      <c r="H116" s="317">
        <v>5</v>
      </c>
      <c r="I116" s="317">
        <v>5</v>
      </c>
      <c r="J116" s="317">
        <v>5</v>
      </c>
      <c r="K116" s="317">
        <v>5</v>
      </c>
      <c r="L116" s="317">
        <v>5</v>
      </c>
      <c r="M116" s="317">
        <f>'[3]PIGOO DICIEMBRE 2022'!M116</f>
        <v>5</v>
      </c>
      <c r="N116" s="317"/>
      <c r="O116" s="317"/>
      <c r="P116" s="317"/>
      <c r="Q116" s="317"/>
      <c r="R116" s="317"/>
    </row>
    <row r="117" spans="1:18" x14ac:dyDescent="0.25">
      <c r="A117" s="400" t="s">
        <v>219</v>
      </c>
      <c r="B117" s="317">
        <v>33</v>
      </c>
      <c r="C117" s="317">
        <v>33</v>
      </c>
      <c r="D117" s="317">
        <v>33</v>
      </c>
      <c r="E117" s="317">
        <v>30</v>
      </c>
      <c r="F117" s="317">
        <v>29</v>
      </c>
      <c r="G117" s="317">
        <v>29</v>
      </c>
      <c r="H117" s="317">
        <v>29</v>
      </c>
      <c r="I117" s="317">
        <v>29</v>
      </c>
      <c r="J117" s="317">
        <v>29</v>
      </c>
      <c r="K117" s="317">
        <v>29</v>
      </c>
      <c r="L117" s="317">
        <v>29</v>
      </c>
      <c r="M117" s="317">
        <f>'[3]PIGOO DICIEMBRE 2022'!M117</f>
        <v>29</v>
      </c>
      <c r="N117" s="317"/>
      <c r="O117" s="317"/>
      <c r="P117" s="317"/>
      <c r="Q117" s="317"/>
      <c r="R117" s="317"/>
    </row>
    <row r="118" spans="1:18" x14ac:dyDescent="0.25">
      <c r="A118" s="337" t="s">
        <v>220</v>
      </c>
      <c r="B118" s="338">
        <f>+B119+B120+B121+B122+B123</f>
        <v>815</v>
      </c>
      <c r="C118" s="338">
        <f>+C119+C120+C121+C122+C123</f>
        <v>710</v>
      </c>
      <c r="D118" s="338">
        <f>+D119+D120+D121+D122+D123</f>
        <v>710</v>
      </c>
      <c r="E118" s="338">
        <f>+E119+E120+E121+E122+E123</f>
        <v>708</v>
      </c>
      <c r="F118" s="338">
        <f>SUM(F119:F123)</f>
        <v>709</v>
      </c>
      <c r="G118" s="338">
        <f>SUM(G119:G123)</f>
        <v>709</v>
      </c>
      <c r="H118" s="338">
        <f>SUM(H119:H123)</f>
        <v>709</v>
      </c>
      <c r="I118" s="338">
        <f>SUM(I119:I123)</f>
        <v>708</v>
      </c>
      <c r="J118" s="338">
        <f t="shared" ref="J118:M118" si="48">SUM(J119:J123)</f>
        <v>704</v>
      </c>
      <c r="K118" s="338">
        <f t="shared" si="48"/>
        <v>704</v>
      </c>
      <c r="L118" s="338">
        <f t="shared" si="48"/>
        <v>704</v>
      </c>
      <c r="M118" s="338">
        <f>'[3]PIGOO DICIEMBRE 2022'!M118</f>
        <v>703</v>
      </c>
      <c r="N118" s="338"/>
      <c r="O118" s="338"/>
      <c r="P118" s="338"/>
      <c r="Q118" s="338"/>
      <c r="R118" s="338"/>
    </row>
    <row r="119" spans="1:18" x14ac:dyDescent="0.25">
      <c r="A119" s="400" t="s">
        <v>215</v>
      </c>
      <c r="B119" s="317">
        <v>807</v>
      </c>
      <c r="C119" s="317">
        <v>705</v>
      </c>
      <c r="D119" s="317">
        <v>705</v>
      </c>
      <c r="E119" s="317">
        <v>703</v>
      </c>
      <c r="F119" s="317">
        <v>704</v>
      </c>
      <c r="G119" s="317">
        <v>704</v>
      </c>
      <c r="H119" s="317">
        <v>704</v>
      </c>
      <c r="I119" s="317">
        <v>702</v>
      </c>
      <c r="J119" s="317">
        <v>698</v>
      </c>
      <c r="K119" s="317">
        <v>698</v>
      </c>
      <c r="L119" s="317">
        <v>698</v>
      </c>
      <c r="M119" s="317">
        <f>'[3]PIGOO DICIEMBRE 2022'!M119</f>
        <v>697</v>
      </c>
      <c r="N119" s="317"/>
      <c r="O119" s="317"/>
      <c r="P119" s="317"/>
      <c r="Q119" s="317"/>
      <c r="R119" s="317"/>
    </row>
    <row r="120" spans="1:18" x14ac:dyDescent="0.25">
      <c r="A120" s="402" t="s">
        <v>216</v>
      </c>
      <c r="B120" s="317">
        <v>3</v>
      </c>
      <c r="C120" s="317">
        <v>3</v>
      </c>
      <c r="D120" s="317">
        <v>3</v>
      </c>
      <c r="E120" s="317">
        <v>3</v>
      </c>
      <c r="F120" s="317">
        <v>3</v>
      </c>
      <c r="G120" s="317">
        <v>3</v>
      </c>
      <c r="H120" s="317">
        <v>3</v>
      </c>
      <c r="I120" s="317">
        <v>4</v>
      </c>
      <c r="J120" s="317">
        <v>4</v>
      </c>
      <c r="K120" s="317">
        <v>4</v>
      </c>
      <c r="L120" s="317">
        <v>4</v>
      </c>
      <c r="M120" s="317">
        <f>'[3]PIGOO DICIEMBRE 2022'!M120</f>
        <v>4</v>
      </c>
      <c r="N120" s="317"/>
      <c r="O120" s="317"/>
      <c r="P120" s="317"/>
      <c r="Q120" s="317"/>
      <c r="R120" s="317"/>
    </row>
    <row r="121" spans="1:18" x14ac:dyDescent="0.25">
      <c r="A121" s="400" t="s">
        <v>217</v>
      </c>
      <c r="B121" s="317">
        <v>1</v>
      </c>
      <c r="C121" s="317">
        <v>1</v>
      </c>
      <c r="D121" s="317">
        <v>1</v>
      </c>
      <c r="E121" s="317">
        <v>1</v>
      </c>
      <c r="F121" s="317">
        <v>1</v>
      </c>
      <c r="G121" s="317">
        <v>1</v>
      </c>
      <c r="H121" s="317">
        <v>1</v>
      </c>
      <c r="I121" s="317">
        <v>1</v>
      </c>
      <c r="J121" s="317">
        <v>1</v>
      </c>
      <c r="K121" s="317">
        <v>1</v>
      </c>
      <c r="L121" s="317">
        <v>1</v>
      </c>
      <c r="M121" s="317">
        <f>'[3]PIGOO DICIEMBRE 2022'!M121</f>
        <v>1</v>
      </c>
      <c r="N121" s="317"/>
      <c r="O121" s="317"/>
      <c r="P121" s="317"/>
      <c r="Q121" s="317"/>
      <c r="R121" s="317"/>
    </row>
    <row r="122" spans="1:18" x14ac:dyDescent="0.25">
      <c r="A122" s="400" t="s">
        <v>218</v>
      </c>
      <c r="B122" s="317"/>
      <c r="C122" s="317"/>
      <c r="D122" s="317"/>
      <c r="E122" s="317"/>
      <c r="F122" s="317">
        <v>0</v>
      </c>
      <c r="G122" s="317"/>
      <c r="H122" s="317"/>
      <c r="I122" s="317"/>
      <c r="J122" s="317"/>
      <c r="K122" s="317"/>
      <c r="L122" s="317"/>
      <c r="M122" s="317">
        <f>'[3]PIGOO DICIEMBRE 2022'!M122</f>
        <v>0</v>
      </c>
      <c r="N122" s="317"/>
      <c r="O122" s="317"/>
      <c r="P122" s="317"/>
      <c r="Q122" s="317"/>
      <c r="R122" s="317"/>
    </row>
    <row r="123" spans="1:18" x14ac:dyDescent="0.25">
      <c r="A123" s="400" t="s">
        <v>219</v>
      </c>
      <c r="B123" s="317">
        <v>4</v>
      </c>
      <c r="C123" s="317">
        <v>1</v>
      </c>
      <c r="D123" s="317">
        <v>1</v>
      </c>
      <c r="E123" s="317">
        <v>1</v>
      </c>
      <c r="F123" s="317">
        <v>1</v>
      </c>
      <c r="G123" s="317">
        <v>1</v>
      </c>
      <c r="H123" s="317">
        <v>1</v>
      </c>
      <c r="I123" s="317">
        <v>1</v>
      </c>
      <c r="J123" s="317">
        <v>1</v>
      </c>
      <c r="K123" s="317">
        <v>1</v>
      </c>
      <c r="L123" s="317">
        <v>1</v>
      </c>
      <c r="M123" s="317">
        <f>'[3]PIGOO DICIEMBRE 2022'!M123</f>
        <v>1</v>
      </c>
      <c r="N123" s="317"/>
      <c r="O123" s="317"/>
      <c r="P123" s="317"/>
      <c r="Q123" s="317"/>
      <c r="R123" s="317"/>
    </row>
    <row r="124" spans="1:18" ht="23.25" customHeight="1" x14ac:dyDescent="0.25">
      <c r="A124" s="405" t="s">
        <v>221</v>
      </c>
      <c r="B124" s="406">
        <v>109</v>
      </c>
      <c r="C124" s="406">
        <v>101</v>
      </c>
      <c r="D124" s="406">
        <v>101</v>
      </c>
      <c r="E124" s="406">
        <v>101</v>
      </c>
      <c r="F124" s="406">
        <v>100</v>
      </c>
      <c r="G124" s="406">
        <v>99</v>
      </c>
      <c r="H124" s="406">
        <v>98</v>
      </c>
      <c r="I124" s="406">
        <v>95</v>
      </c>
      <c r="J124" s="406">
        <v>93</v>
      </c>
      <c r="K124" s="406">
        <v>91</v>
      </c>
      <c r="L124" s="406">
        <v>91</v>
      </c>
      <c r="M124" s="406">
        <f>'[3]PIGOO DICIEMBRE 2022'!M124</f>
        <v>90</v>
      </c>
      <c r="N124" s="406"/>
      <c r="O124" s="317"/>
      <c r="P124" s="317"/>
      <c r="Q124" s="317"/>
      <c r="R124" s="317"/>
    </row>
    <row r="125" spans="1:18" ht="15.75" customHeight="1" x14ac:dyDescent="0.25">
      <c r="A125" s="339"/>
      <c r="B125" s="340"/>
      <c r="C125" s="340"/>
      <c r="D125" s="340"/>
      <c r="E125" s="340"/>
      <c r="F125" s="340"/>
      <c r="G125" s="340"/>
      <c r="H125" s="340"/>
      <c r="I125" s="340"/>
      <c r="J125" s="340"/>
      <c r="K125" s="340"/>
      <c r="L125" s="340"/>
      <c r="M125" s="340">
        <f>'[3]PIGOO DICIEMBRE 2022'!M125</f>
        <v>0</v>
      </c>
      <c r="N125" s="340"/>
      <c r="O125" s="340"/>
      <c r="P125" s="340"/>
      <c r="Q125" s="340"/>
      <c r="R125" s="340"/>
    </row>
    <row r="126" spans="1:18" ht="19.5" customHeight="1" x14ac:dyDescent="0.25">
      <c r="A126" s="407" t="s">
        <v>222</v>
      </c>
      <c r="B126" s="341">
        <v>1149</v>
      </c>
      <c r="C126" s="341">
        <v>1154</v>
      </c>
      <c r="D126" s="341">
        <v>1155</v>
      </c>
      <c r="E126" s="341">
        <v>1157</v>
      </c>
      <c r="F126" s="341">
        <v>1159</v>
      </c>
      <c r="G126" s="341">
        <v>1159</v>
      </c>
      <c r="H126" s="341">
        <v>1159</v>
      </c>
      <c r="I126" s="341">
        <v>1159</v>
      </c>
      <c r="J126" s="341">
        <v>1159</v>
      </c>
      <c r="K126" s="341">
        <v>1159</v>
      </c>
      <c r="L126" s="341">
        <v>1159</v>
      </c>
      <c r="M126" s="341">
        <f>'[3]PIGOO DICIEMBRE 2022'!M126</f>
        <v>1159</v>
      </c>
      <c r="N126" s="341"/>
      <c r="O126" s="341"/>
      <c r="P126" s="341"/>
      <c r="Q126" s="341"/>
      <c r="R126" s="341"/>
    </row>
    <row r="127" spans="1:18" ht="19.5" customHeight="1" x14ac:dyDescent="0.25">
      <c r="A127" s="321" t="s">
        <v>321</v>
      </c>
      <c r="B127" s="429">
        <f t="shared" ref="B127:C127" si="49">$I$127</f>
        <v>1.0623281393217232</v>
      </c>
      <c r="C127" s="429">
        <f t="shared" si="49"/>
        <v>1.0623281393217232</v>
      </c>
      <c r="D127" s="429">
        <f>$I$127</f>
        <v>1.0623281393217232</v>
      </c>
      <c r="E127" s="429">
        <f>$I$127</f>
        <v>1.0623281393217232</v>
      </c>
      <c r="F127" s="429">
        <f>$I$127</f>
        <v>1.0623281393217232</v>
      </c>
      <c r="G127" s="429">
        <f>$I$127</f>
        <v>1.0623281393217232</v>
      </c>
      <c r="H127" s="429">
        <f>$I$127</f>
        <v>1.0623281393217232</v>
      </c>
      <c r="I127" s="429">
        <f t="shared" ref="I127:M127" si="50">+I126/I111</f>
        <v>1.0623281393217232</v>
      </c>
      <c r="J127" s="429">
        <f t="shared" si="50"/>
        <v>1.0584474885844748</v>
      </c>
      <c r="K127" s="429">
        <f t="shared" si="50"/>
        <v>1.056517775752051</v>
      </c>
      <c r="L127" s="429">
        <f t="shared" si="50"/>
        <v>1.056517775752051</v>
      </c>
      <c r="M127" s="505">
        <f>'[3]PIGOO DICIEMBRE 2022'!M127</f>
        <v>1.0574817518248176</v>
      </c>
      <c r="N127" s="341"/>
      <c r="O127" s="341"/>
      <c r="P127" s="341"/>
      <c r="Q127" s="341"/>
      <c r="R127" s="341"/>
    </row>
    <row r="128" spans="1:18" ht="19.5" customHeight="1" x14ac:dyDescent="0.25">
      <c r="A128" s="342"/>
      <c r="B128" s="343"/>
      <c r="C128" s="343"/>
      <c r="D128" s="372"/>
      <c r="E128" s="343"/>
      <c r="F128" s="343"/>
      <c r="G128" s="343"/>
      <c r="H128" s="343"/>
      <c r="I128" s="343"/>
      <c r="J128" s="343"/>
      <c r="K128" s="343"/>
      <c r="L128" s="343"/>
      <c r="M128" s="343">
        <f>'[3]PIGOO DICIEMBRE 2022'!M128</f>
        <v>0</v>
      </c>
      <c r="N128" s="343"/>
      <c r="O128" s="343"/>
      <c r="P128" s="343"/>
      <c r="Q128" s="343"/>
      <c r="R128" s="343"/>
    </row>
    <row r="129" spans="1:18" ht="15" customHeight="1" x14ac:dyDescent="0.25">
      <c r="A129" s="304" t="s">
        <v>223</v>
      </c>
      <c r="B129" s="318"/>
      <c r="C129" s="318"/>
      <c r="D129" s="318"/>
      <c r="E129" s="318"/>
      <c r="F129" s="318"/>
      <c r="G129" s="318"/>
      <c r="H129" s="318"/>
      <c r="I129" s="318"/>
      <c r="J129" s="318"/>
      <c r="K129" s="318"/>
      <c r="L129" s="318"/>
      <c r="M129" s="318">
        <f>'[3]PIGOO DICIEMBRE 2022'!M129</f>
        <v>0</v>
      </c>
      <c r="N129" s="318"/>
      <c r="O129" s="318"/>
      <c r="P129" s="318"/>
      <c r="Q129" s="318"/>
      <c r="R129" s="318"/>
    </row>
    <row r="130" spans="1:18" ht="15.75" x14ac:dyDescent="0.25">
      <c r="A130" s="294" t="s">
        <v>224</v>
      </c>
      <c r="B130" s="295">
        <f>+B131+B135+B136</f>
        <v>330053.64</v>
      </c>
      <c r="C130" s="295">
        <f>+C131+C135+C136</f>
        <v>310992.33000000007</v>
      </c>
      <c r="D130" s="295">
        <f t="shared" ref="D130:G130" si="51">+D131+D135+D136</f>
        <v>318513.8</v>
      </c>
      <c r="E130" s="295">
        <f t="shared" si="51"/>
        <v>289590.12</v>
      </c>
      <c r="F130" s="295">
        <f t="shared" si="51"/>
        <v>266775.74</v>
      </c>
      <c r="G130" s="295">
        <f t="shared" si="51"/>
        <v>583978.68000000005</v>
      </c>
      <c r="H130" s="295">
        <f>+H131+H135+H136</f>
        <v>323100.15000000002</v>
      </c>
      <c r="I130" s="295">
        <f>+I131+I135+I136</f>
        <v>330363.60000000003</v>
      </c>
      <c r="J130" s="295">
        <f>+J131+J135+J136</f>
        <v>351431.82999999996</v>
      </c>
      <c r="K130" s="295">
        <f t="shared" ref="K130:M130" si="52">+K131+K135+K136</f>
        <v>358795.99</v>
      </c>
      <c r="L130" s="295">
        <f t="shared" si="52"/>
        <v>369195.44000000006</v>
      </c>
      <c r="M130" s="295">
        <f>'[3]PIGOO DICIEMBRE 2022'!M130</f>
        <v>373741.25</v>
      </c>
      <c r="N130" s="295"/>
      <c r="O130" s="295"/>
      <c r="P130" s="295"/>
      <c r="Q130" s="295"/>
      <c r="R130" s="295"/>
    </row>
    <row r="131" spans="1:18" x14ac:dyDescent="0.25">
      <c r="A131" s="337" t="s">
        <v>225</v>
      </c>
      <c r="B131" s="297">
        <f>+B132+B133+B134</f>
        <v>221263.99000000002</v>
      </c>
      <c r="C131" s="297">
        <f>+C132+C133+C134</f>
        <v>199544.38000000003</v>
      </c>
      <c r="D131" s="297">
        <f t="shared" ref="D131:M131" si="53">+D132+D133+D134</f>
        <v>204113.38</v>
      </c>
      <c r="E131" s="297">
        <f t="shared" si="53"/>
        <v>173510.36</v>
      </c>
      <c r="F131" s="297">
        <f t="shared" si="53"/>
        <v>148123.38</v>
      </c>
      <c r="G131" s="297">
        <f t="shared" si="53"/>
        <v>343841.36000000004</v>
      </c>
      <c r="H131" s="297">
        <f t="shared" si="53"/>
        <v>201606.74</v>
      </c>
      <c r="I131" s="297">
        <f t="shared" si="53"/>
        <v>207436.84000000003</v>
      </c>
      <c r="J131" s="297">
        <f t="shared" si="53"/>
        <v>227063.16999999998</v>
      </c>
      <c r="K131" s="297">
        <f t="shared" si="53"/>
        <v>232976.73</v>
      </c>
      <c r="L131" s="297">
        <f t="shared" si="53"/>
        <v>241916.93000000002</v>
      </c>
      <c r="M131" s="297">
        <f>'[3]PIGOO DICIEMBRE 2022'!M131</f>
        <v>244994.69</v>
      </c>
      <c r="N131" s="297">
        <f t="shared" ref="N131:R131" si="54">N132+N136+N137</f>
        <v>0</v>
      </c>
      <c r="O131" s="297">
        <f t="shared" si="54"/>
        <v>0</v>
      </c>
      <c r="P131" s="297">
        <f t="shared" si="54"/>
        <v>0</v>
      </c>
      <c r="Q131" s="297">
        <f t="shared" si="54"/>
        <v>0</v>
      </c>
      <c r="R131" s="297">
        <f t="shared" si="54"/>
        <v>0</v>
      </c>
    </row>
    <row r="132" spans="1:18" x14ac:dyDescent="0.25">
      <c r="A132" s="400" t="s">
        <v>215</v>
      </c>
      <c r="B132" s="309">
        <v>206530.06</v>
      </c>
      <c r="C132" s="309">
        <v>187199.48</v>
      </c>
      <c r="D132" s="309">
        <v>190592.9</v>
      </c>
      <c r="E132" s="309">
        <v>158495.57999999999</v>
      </c>
      <c r="F132" s="309">
        <v>133790.78</v>
      </c>
      <c r="G132" s="309">
        <v>313364.56</v>
      </c>
      <c r="H132" s="309">
        <v>186538.52</v>
      </c>
      <c r="I132" s="309">
        <v>190264.95</v>
      </c>
      <c r="J132" s="309">
        <v>211058.99</v>
      </c>
      <c r="K132" s="309">
        <v>218687</v>
      </c>
      <c r="L132" s="309">
        <v>225996.29</v>
      </c>
      <c r="M132" s="309">
        <f>'[3]PIGOO DICIEMBRE 2022'!M132</f>
        <v>226596.02</v>
      </c>
      <c r="N132" s="309">
        <f t="shared" ref="N132:R132" si="55">N133+N134+N135</f>
        <v>0</v>
      </c>
      <c r="O132" s="309">
        <f t="shared" si="55"/>
        <v>0</v>
      </c>
      <c r="P132" s="309">
        <f t="shared" si="55"/>
        <v>0</v>
      </c>
      <c r="Q132" s="309">
        <f t="shared" si="55"/>
        <v>0</v>
      </c>
      <c r="R132" s="309">
        <f t="shared" si="55"/>
        <v>0</v>
      </c>
    </row>
    <row r="133" spans="1:18" x14ac:dyDescent="0.25">
      <c r="A133" s="400" t="s">
        <v>216</v>
      </c>
      <c r="B133" s="309">
        <v>14228.7</v>
      </c>
      <c r="C133" s="309">
        <v>11839.67</v>
      </c>
      <c r="D133" s="309">
        <v>13015.25</v>
      </c>
      <c r="E133" s="309">
        <v>14509.55</v>
      </c>
      <c r="F133" s="309">
        <v>13827.37</v>
      </c>
      <c r="G133" s="309">
        <v>29466.34</v>
      </c>
      <c r="H133" s="309">
        <v>14562.99</v>
      </c>
      <c r="I133" s="309">
        <v>16312.2</v>
      </c>
      <c r="J133" s="309">
        <v>14787.91</v>
      </c>
      <c r="K133" s="309">
        <v>13784.5</v>
      </c>
      <c r="L133" s="309">
        <v>15054.54</v>
      </c>
      <c r="M133" s="309">
        <f>'[3]PIGOO DICIEMBRE 2022'!M133</f>
        <v>17893.439999999999</v>
      </c>
      <c r="N133" s="309"/>
      <c r="O133" s="309"/>
      <c r="P133" s="309"/>
      <c r="Q133" s="309"/>
      <c r="R133" s="309"/>
    </row>
    <row r="134" spans="1:18" x14ac:dyDescent="0.25">
      <c r="A134" s="400" t="s">
        <v>217</v>
      </c>
      <c r="B134" s="309">
        <v>505.23</v>
      </c>
      <c r="C134" s="309">
        <v>505.23</v>
      </c>
      <c r="D134" s="309">
        <v>505.23</v>
      </c>
      <c r="E134" s="309">
        <v>505.23</v>
      </c>
      <c r="F134" s="309">
        <v>505.23</v>
      </c>
      <c r="G134" s="309">
        <v>1010.46</v>
      </c>
      <c r="H134" s="309">
        <v>505.23</v>
      </c>
      <c r="I134" s="309">
        <v>859.69</v>
      </c>
      <c r="J134" s="309">
        <v>1216.27</v>
      </c>
      <c r="K134" s="309">
        <v>505.23</v>
      </c>
      <c r="L134" s="309">
        <v>866.1</v>
      </c>
      <c r="M134" s="309">
        <f>'[3]PIGOO DICIEMBRE 2022'!M134</f>
        <v>505.23</v>
      </c>
      <c r="N134" s="309"/>
      <c r="O134" s="309"/>
      <c r="P134" s="309"/>
      <c r="Q134" s="309"/>
      <c r="R134" s="309"/>
    </row>
    <row r="135" spans="1:18" x14ac:dyDescent="0.25">
      <c r="A135" s="401" t="s">
        <v>226</v>
      </c>
      <c r="B135" s="309">
        <v>108471.27</v>
      </c>
      <c r="C135" s="309">
        <v>111129.57</v>
      </c>
      <c r="D135" s="309">
        <v>113803.82</v>
      </c>
      <c r="E135" s="309">
        <v>115203.27</v>
      </c>
      <c r="F135" s="309">
        <v>118333.98</v>
      </c>
      <c r="G135" s="309">
        <v>239500.56</v>
      </c>
      <c r="H135" s="309">
        <v>121175.03</v>
      </c>
      <c r="I135" s="309">
        <v>122608.38</v>
      </c>
      <c r="J135" s="309">
        <v>124050.28</v>
      </c>
      <c r="K135" s="309">
        <v>125500.88</v>
      </c>
      <c r="L135" s="309">
        <v>126960.13</v>
      </c>
      <c r="M135" s="309">
        <f>'[3]PIGOO DICIEMBRE 2022'!M135</f>
        <v>128428.18</v>
      </c>
      <c r="N135" s="309"/>
      <c r="O135" s="309"/>
      <c r="P135" s="309"/>
      <c r="Q135" s="309"/>
      <c r="R135" s="309"/>
    </row>
    <row r="136" spans="1:18" x14ac:dyDescent="0.25">
      <c r="A136" s="401" t="s">
        <v>227</v>
      </c>
      <c r="B136" s="309">
        <v>318.38</v>
      </c>
      <c r="C136" s="309">
        <v>318.38</v>
      </c>
      <c r="D136" s="309">
        <v>596.6</v>
      </c>
      <c r="E136" s="309">
        <v>876.49</v>
      </c>
      <c r="F136" s="309">
        <v>318.38</v>
      </c>
      <c r="G136" s="309">
        <v>636.76</v>
      </c>
      <c r="H136" s="309">
        <v>318.38</v>
      </c>
      <c r="I136" s="309">
        <v>318.38</v>
      </c>
      <c r="J136" s="309">
        <v>318.38</v>
      </c>
      <c r="K136" s="309">
        <v>318.38</v>
      </c>
      <c r="L136" s="309">
        <v>318.38</v>
      </c>
      <c r="M136" s="309">
        <f>'[3]PIGOO DICIEMBRE 2022'!M136</f>
        <v>318.38</v>
      </c>
      <c r="N136" s="309"/>
      <c r="O136" s="309"/>
      <c r="P136" s="309"/>
      <c r="Q136" s="309"/>
      <c r="R136" s="309"/>
    </row>
    <row r="137" spans="1:18" x14ac:dyDescent="0.25">
      <c r="A137" s="291"/>
      <c r="B137" s="286"/>
      <c r="C137" s="286"/>
      <c r="D137" s="286"/>
      <c r="E137" s="286"/>
      <c r="F137" s="286"/>
      <c r="G137" s="286"/>
      <c r="H137" s="286"/>
      <c r="I137" s="286"/>
      <c r="J137" s="286"/>
      <c r="K137" s="286"/>
      <c r="L137" s="286"/>
      <c r="M137" s="286">
        <f>'[3]PIGOO DICIEMBRE 2022'!M137</f>
        <v>0</v>
      </c>
      <c r="N137" s="286"/>
      <c r="O137" s="286"/>
      <c r="P137" s="286"/>
      <c r="Q137" s="286"/>
      <c r="R137" s="286"/>
    </row>
    <row r="138" spans="1:18" x14ac:dyDescent="0.25">
      <c r="A138" s="337" t="s">
        <v>228</v>
      </c>
      <c r="B138" s="338">
        <f t="shared" ref="B138:F138" si="56">+B139+B140+B141+B142</f>
        <v>261</v>
      </c>
      <c r="C138" s="338">
        <f t="shared" si="56"/>
        <v>307</v>
      </c>
      <c r="D138" s="338">
        <f t="shared" si="56"/>
        <v>287</v>
      </c>
      <c r="E138" s="338">
        <f t="shared" si="56"/>
        <v>279</v>
      </c>
      <c r="F138" s="338">
        <f t="shared" si="56"/>
        <v>230</v>
      </c>
      <c r="G138" s="338">
        <f>SUM(G139:G142)</f>
        <v>183</v>
      </c>
      <c r="H138" s="338">
        <f>SUM(H139:H142)</f>
        <v>287</v>
      </c>
      <c r="I138" s="338">
        <f>SUM(I139:I142)</f>
        <v>353</v>
      </c>
      <c r="J138" s="338">
        <f>SUM(J139:J142)</f>
        <v>315</v>
      </c>
      <c r="K138" s="338">
        <f t="shared" ref="K138:L138" si="57">SUM(K139:K142)</f>
        <v>292</v>
      </c>
      <c r="L138" s="338">
        <f t="shared" si="57"/>
        <v>274</v>
      </c>
      <c r="M138" s="297">
        <f>'[3]PIGOO DICIEMBRE 2022'!M138</f>
        <v>251</v>
      </c>
      <c r="N138" s="297"/>
      <c r="O138" s="297"/>
      <c r="P138" s="297"/>
      <c r="Q138" s="297"/>
      <c r="R138" s="297"/>
    </row>
    <row r="139" spans="1:18" ht="14.25" customHeight="1" x14ac:dyDescent="0.25">
      <c r="A139" s="401" t="s">
        <v>229</v>
      </c>
      <c r="B139" s="317">
        <v>175</v>
      </c>
      <c r="C139" s="317">
        <v>252</v>
      </c>
      <c r="D139" s="317">
        <v>218</v>
      </c>
      <c r="E139" s="317">
        <v>232</v>
      </c>
      <c r="F139" s="317">
        <v>202</v>
      </c>
      <c r="G139" s="317">
        <v>147</v>
      </c>
      <c r="H139" s="317">
        <v>255</v>
      </c>
      <c r="I139" s="317">
        <v>282</v>
      </c>
      <c r="J139" s="317">
        <v>273</v>
      </c>
      <c r="K139" s="317">
        <v>235</v>
      </c>
      <c r="L139" s="317">
        <v>205</v>
      </c>
      <c r="M139" s="317">
        <f>'[3]PIGOO DICIEMBRE 2022'!M139</f>
        <v>192</v>
      </c>
      <c r="N139" s="317"/>
      <c r="O139" s="317"/>
      <c r="P139" s="317"/>
      <c r="Q139" s="317"/>
      <c r="R139" s="317"/>
    </row>
    <row r="140" spans="1:18" ht="15" customHeight="1" x14ac:dyDescent="0.25">
      <c r="A140" s="401" t="s">
        <v>230</v>
      </c>
      <c r="B140" s="317">
        <v>62</v>
      </c>
      <c r="C140" s="317">
        <v>32</v>
      </c>
      <c r="D140" s="317">
        <v>39</v>
      </c>
      <c r="E140" s="317">
        <v>28</v>
      </c>
      <c r="F140" s="317">
        <v>14</v>
      </c>
      <c r="G140" s="317">
        <v>20</v>
      </c>
      <c r="H140" s="317">
        <v>15</v>
      </c>
      <c r="I140" s="317">
        <v>53</v>
      </c>
      <c r="J140" s="317">
        <v>30</v>
      </c>
      <c r="K140" s="317">
        <v>36</v>
      </c>
      <c r="L140" s="317">
        <v>42</v>
      </c>
      <c r="M140" s="317">
        <f>'[3]PIGOO DICIEMBRE 2022'!M140</f>
        <v>23</v>
      </c>
      <c r="N140" s="317"/>
      <c r="O140" s="317"/>
      <c r="P140" s="317"/>
      <c r="Q140" s="317"/>
      <c r="R140" s="317"/>
    </row>
    <row r="141" spans="1:18" x14ac:dyDescent="0.25">
      <c r="A141" s="401" t="s">
        <v>231</v>
      </c>
      <c r="B141" s="317">
        <v>19</v>
      </c>
      <c r="C141" s="317">
        <v>19</v>
      </c>
      <c r="D141" s="317">
        <v>26</v>
      </c>
      <c r="E141" s="317">
        <v>16</v>
      </c>
      <c r="F141" s="317">
        <v>11</v>
      </c>
      <c r="G141" s="317">
        <v>12</v>
      </c>
      <c r="H141" s="317">
        <v>13</v>
      </c>
      <c r="I141" s="317">
        <v>13</v>
      </c>
      <c r="J141" s="317">
        <v>10</v>
      </c>
      <c r="K141" s="317">
        <v>16</v>
      </c>
      <c r="L141" s="317">
        <v>19</v>
      </c>
      <c r="M141" s="317">
        <f>'[3]PIGOO DICIEMBRE 2022'!M141</f>
        <v>28</v>
      </c>
      <c r="N141" s="317"/>
      <c r="O141" s="317"/>
      <c r="P141" s="317"/>
      <c r="Q141" s="317"/>
      <c r="R141" s="317"/>
    </row>
    <row r="142" spans="1:18" ht="15" customHeight="1" x14ac:dyDescent="0.25">
      <c r="A142" s="401" t="s">
        <v>232</v>
      </c>
      <c r="B142" s="317">
        <v>5</v>
      </c>
      <c r="C142" s="317">
        <v>4</v>
      </c>
      <c r="D142" s="317">
        <v>4</v>
      </c>
      <c r="E142" s="317">
        <v>3</v>
      </c>
      <c r="F142" s="317">
        <v>3</v>
      </c>
      <c r="G142" s="317">
        <v>4</v>
      </c>
      <c r="H142" s="317">
        <v>4</v>
      </c>
      <c r="I142" s="317">
        <v>5</v>
      </c>
      <c r="J142" s="317">
        <v>2</v>
      </c>
      <c r="K142" s="317">
        <v>5</v>
      </c>
      <c r="L142" s="317">
        <v>8</v>
      </c>
      <c r="M142" s="317">
        <f>'[3]PIGOO DICIEMBRE 2022'!M142</f>
        <v>8</v>
      </c>
      <c r="N142" s="317"/>
      <c r="O142" s="317"/>
      <c r="P142" s="317"/>
      <c r="Q142" s="317"/>
      <c r="R142" s="317"/>
    </row>
    <row r="143" spans="1:18" x14ac:dyDescent="0.25">
      <c r="A143" s="291"/>
      <c r="B143" s="286"/>
      <c r="C143" s="286"/>
      <c r="D143" s="286"/>
      <c r="E143" s="286"/>
      <c r="F143" s="286"/>
      <c r="G143" s="286"/>
      <c r="H143" s="286"/>
      <c r="I143" s="286"/>
      <c r="J143" s="286"/>
      <c r="K143" s="286"/>
      <c r="L143" s="286"/>
      <c r="M143" s="286">
        <f>'[3]PIGOO DICIEMBRE 2022'!M143</f>
        <v>0</v>
      </c>
      <c r="N143" s="286"/>
      <c r="O143" s="286"/>
      <c r="P143" s="286"/>
      <c r="Q143" s="286"/>
      <c r="R143" s="286"/>
    </row>
    <row r="144" spans="1:18" x14ac:dyDescent="0.25">
      <c r="A144" s="291" t="s">
        <v>233</v>
      </c>
      <c r="B144" s="309"/>
      <c r="C144" s="309"/>
      <c r="D144" s="309"/>
      <c r="E144" s="309"/>
      <c r="F144" s="309"/>
      <c r="G144" s="309"/>
      <c r="H144" s="309"/>
      <c r="I144" s="309"/>
      <c r="J144" s="309"/>
      <c r="K144" s="309"/>
      <c r="L144" s="309"/>
      <c r="M144" s="309">
        <f>'[3]PIGOO DICIEMBRE 2022'!M144</f>
        <v>0</v>
      </c>
      <c r="N144" s="309"/>
      <c r="O144" s="309"/>
      <c r="P144" s="309"/>
      <c r="Q144" s="309"/>
      <c r="R144" s="309"/>
    </row>
    <row r="145" spans="1:19" ht="15" customHeight="1" x14ac:dyDescent="0.25">
      <c r="A145" s="401" t="s">
        <v>234</v>
      </c>
      <c r="B145" s="309"/>
      <c r="C145" s="309"/>
      <c r="D145" s="309"/>
      <c r="E145" s="309"/>
      <c r="F145" s="309"/>
      <c r="G145" s="309"/>
      <c r="H145" s="309"/>
      <c r="I145" s="309"/>
      <c r="J145" s="309"/>
      <c r="K145" s="309"/>
      <c r="L145" s="309"/>
      <c r="M145" s="309">
        <f>'[3]PIGOO DICIEMBRE 2022'!M145</f>
        <v>0</v>
      </c>
      <c r="N145" s="309"/>
      <c r="O145" s="309"/>
      <c r="P145" s="309"/>
      <c r="Q145" s="309"/>
      <c r="R145" s="309"/>
    </row>
    <row r="146" spans="1:19" ht="15" customHeight="1" x14ac:dyDescent="0.25">
      <c r="A146" s="401" t="s">
        <v>235</v>
      </c>
      <c r="B146" s="309"/>
      <c r="C146" s="309"/>
      <c r="D146" s="309"/>
      <c r="E146" s="309"/>
      <c r="F146" s="309"/>
      <c r="G146" s="309"/>
      <c r="H146" s="309"/>
      <c r="I146" s="309"/>
      <c r="J146" s="344"/>
      <c r="K146" s="309"/>
      <c r="L146" s="309"/>
      <c r="M146" s="309">
        <f>'[3]PIGOO DICIEMBRE 2022'!M146</f>
        <v>0</v>
      </c>
      <c r="N146" s="309"/>
      <c r="O146" s="309"/>
      <c r="P146" s="309"/>
      <c r="Q146" s="309"/>
      <c r="R146" s="309"/>
    </row>
    <row r="147" spans="1:19" ht="14.25" customHeight="1" x14ac:dyDescent="0.25">
      <c r="A147" s="401" t="s">
        <v>236</v>
      </c>
      <c r="B147" s="309"/>
      <c r="C147" s="309"/>
      <c r="D147" s="309"/>
      <c r="E147" s="309"/>
      <c r="F147" s="309"/>
      <c r="G147" s="309"/>
      <c r="H147" s="309"/>
      <c r="I147" s="309"/>
      <c r="J147" s="309"/>
      <c r="K147" s="309"/>
      <c r="L147" s="309"/>
      <c r="M147" s="309">
        <f>'[3]PIGOO DICIEMBRE 2022'!M147</f>
        <v>0</v>
      </c>
      <c r="N147" s="309"/>
      <c r="O147" s="309"/>
      <c r="P147" s="309"/>
      <c r="Q147" s="309"/>
      <c r="R147" s="309"/>
    </row>
    <row r="148" spans="1:19" x14ac:dyDescent="0.25">
      <c r="A148" s="403" t="s">
        <v>237</v>
      </c>
      <c r="B148" s="309"/>
      <c r="C148" s="309"/>
      <c r="D148" s="309"/>
      <c r="E148" s="309"/>
      <c r="F148" s="309"/>
      <c r="G148" s="309"/>
      <c r="H148" s="309"/>
      <c r="I148" s="309"/>
      <c r="J148" s="309"/>
      <c r="K148" s="309"/>
      <c r="L148" s="309"/>
      <c r="M148" s="309">
        <f>'[3]PIGOO DICIEMBRE 2022'!M148</f>
        <v>0</v>
      </c>
      <c r="N148" s="309"/>
      <c r="O148" s="309"/>
      <c r="P148" s="309"/>
      <c r="Q148" s="309"/>
      <c r="R148" s="309"/>
    </row>
    <row r="149" spans="1:19" ht="14.25" customHeight="1" x14ac:dyDescent="0.25">
      <c r="A149" s="325"/>
      <c r="B149" s="345"/>
      <c r="C149" s="345"/>
      <c r="D149" s="345"/>
      <c r="E149" s="345"/>
      <c r="F149" s="345"/>
      <c r="G149" s="345"/>
      <c r="H149" s="345"/>
      <c r="I149" s="345"/>
      <c r="J149" s="345"/>
      <c r="K149" s="345"/>
      <c r="L149" s="345"/>
      <c r="M149" s="345">
        <f>'[3]PIGOO DICIEMBRE 2022'!M149</f>
        <v>0</v>
      </c>
      <c r="N149" s="345"/>
      <c r="O149" s="345"/>
      <c r="P149" s="345"/>
      <c r="Q149" s="345"/>
      <c r="R149" s="345"/>
    </row>
    <row r="150" spans="1:19" x14ac:dyDescent="0.25">
      <c r="A150" s="346" t="s">
        <v>211</v>
      </c>
      <c r="B150" s="347"/>
      <c r="C150" s="347"/>
      <c r="D150" s="347"/>
      <c r="E150" s="347"/>
      <c r="F150" s="347"/>
      <c r="G150" s="347"/>
      <c r="H150" s="347"/>
      <c r="I150" s="347"/>
      <c r="J150" s="345"/>
      <c r="K150" s="345"/>
      <c r="L150" s="347"/>
      <c r="M150" s="347">
        <f>'[3]PIGOO DICIEMBRE 2022'!M150</f>
        <v>0</v>
      </c>
      <c r="N150" s="347"/>
      <c r="O150" s="347"/>
      <c r="P150" s="347"/>
      <c r="Q150" s="347"/>
      <c r="R150" s="347"/>
    </row>
    <row r="151" spans="1:19" x14ac:dyDescent="0.25">
      <c r="A151" s="304" t="s">
        <v>238</v>
      </c>
      <c r="B151" s="338"/>
      <c r="C151" s="338"/>
      <c r="D151" s="338"/>
      <c r="E151" s="338"/>
      <c r="F151" s="338"/>
      <c r="G151" s="338"/>
      <c r="H151" s="338"/>
      <c r="I151" s="338"/>
      <c r="J151" s="338"/>
      <c r="K151" s="338"/>
      <c r="L151" s="338"/>
      <c r="M151" s="338">
        <f>'[3]PIGOO DICIEMBRE 2022'!M151</f>
        <v>0</v>
      </c>
      <c r="N151" s="338"/>
      <c r="O151" s="338"/>
      <c r="P151" s="338"/>
      <c r="Q151" s="338"/>
      <c r="R151" s="338"/>
    </row>
    <row r="152" spans="1:19" x14ac:dyDescent="0.25">
      <c r="A152" s="313" t="s">
        <v>238</v>
      </c>
      <c r="B152" s="314">
        <v>0</v>
      </c>
      <c r="C152" s="314"/>
      <c r="D152" s="314">
        <f t="shared" ref="D152" si="58">+D154/D153</f>
        <v>1</v>
      </c>
      <c r="E152" s="314">
        <v>0</v>
      </c>
      <c r="F152" s="314">
        <v>0</v>
      </c>
      <c r="G152" s="314">
        <v>0</v>
      </c>
      <c r="H152" s="314">
        <f t="shared" ref="H152:I152" si="59">+H154/H153</f>
        <v>1</v>
      </c>
      <c r="I152" s="314">
        <f t="shared" si="59"/>
        <v>1</v>
      </c>
      <c r="J152" s="314">
        <v>0.91</v>
      </c>
      <c r="K152" s="314">
        <f t="shared" ref="K152" si="60">+K154/K153</f>
        <v>1</v>
      </c>
      <c r="L152" s="314">
        <v>0</v>
      </c>
      <c r="M152" s="504">
        <f>'[3]PIGOO DICIEMBRE 2022'!M152</f>
        <v>0.91</v>
      </c>
      <c r="N152" s="314"/>
      <c r="O152" s="314"/>
      <c r="P152" s="314"/>
      <c r="Q152" s="314"/>
      <c r="R152" s="314"/>
    </row>
    <row r="153" spans="1:19" x14ac:dyDescent="0.25">
      <c r="A153" s="403" t="s">
        <v>239</v>
      </c>
      <c r="B153" s="317">
        <v>2088</v>
      </c>
      <c r="C153" s="317">
        <v>2088</v>
      </c>
      <c r="D153" s="317">
        <v>2088</v>
      </c>
      <c r="E153" s="317">
        <v>2088</v>
      </c>
      <c r="F153" s="317">
        <v>2088</v>
      </c>
      <c r="G153" s="317">
        <v>2088</v>
      </c>
      <c r="H153" s="317">
        <v>2088</v>
      </c>
      <c r="I153" s="317">
        <v>2088</v>
      </c>
      <c r="J153" s="317">
        <v>2088</v>
      </c>
      <c r="K153" s="317">
        <v>2088</v>
      </c>
      <c r="L153" s="317">
        <v>2088</v>
      </c>
      <c r="M153" s="317">
        <f>'[3]PIGOO DICIEMBRE 2022'!M153</f>
        <v>2088</v>
      </c>
      <c r="N153" s="317"/>
      <c r="O153" s="317"/>
      <c r="P153" s="317"/>
      <c r="Q153" s="317"/>
      <c r="R153" s="317"/>
    </row>
    <row r="154" spans="1:19" x14ac:dyDescent="0.25">
      <c r="A154" s="403" t="s">
        <v>240</v>
      </c>
      <c r="B154" s="317">
        <v>2088</v>
      </c>
      <c r="C154" s="317">
        <v>2088</v>
      </c>
      <c r="D154" s="317">
        <v>2088</v>
      </c>
      <c r="E154" s="317">
        <v>2088</v>
      </c>
      <c r="F154" s="317">
        <v>2088</v>
      </c>
      <c r="G154" s="317">
        <v>2088</v>
      </c>
      <c r="H154" s="317">
        <v>2088</v>
      </c>
      <c r="I154" s="317">
        <v>2088</v>
      </c>
      <c r="J154" s="317">
        <v>2088</v>
      </c>
      <c r="K154" s="317">
        <v>2088</v>
      </c>
      <c r="L154" s="317">
        <v>2088</v>
      </c>
      <c r="M154" s="317">
        <f>'[3]PIGOO DICIEMBRE 2022'!M154</f>
        <v>2088</v>
      </c>
      <c r="N154" s="317"/>
      <c r="O154" s="317"/>
      <c r="P154" s="317"/>
      <c r="Q154" s="317"/>
      <c r="R154" s="317"/>
    </row>
    <row r="155" spans="1:19" x14ac:dyDescent="0.25">
      <c r="A155" s="403" t="s">
        <v>241</v>
      </c>
      <c r="B155" s="317">
        <v>2088</v>
      </c>
      <c r="C155" s="317">
        <v>2088</v>
      </c>
      <c r="D155" s="317">
        <v>2088</v>
      </c>
      <c r="E155" s="317">
        <v>2088</v>
      </c>
      <c r="F155" s="317">
        <v>2088</v>
      </c>
      <c r="G155" s="317">
        <v>2088</v>
      </c>
      <c r="H155" s="317">
        <v>2088</v>
      </c>
      <c r="I155" s="317">
        <v>2088</v>
      </c>
      <c r="J155" s="317">
        <v>2088</v>
      </c>
      <c r="K155" s="317">
        <v>2088</v>
      </c>
      <c r="L155" s="317">
        <v>2088</v>
      </c>
      <c r="M155" s="317">
        <f>'[3]PIGOO DICIEMBRE 2022'!M155</f>
        <v>2088</v>
      </c>
      <c r="N155" s="317"/>
      <c r="O155" s="317"/>
      <c r="P155" s="317"/>
      <c r="Q155" s="317"/>
      <c r="R155" s="317"/>
    </row>
    <row r="156" spans="1:19" x14ac:dyDescent="0.25">
      <c r="A156" s="403" t="s">
        <v>242</v>
      </c>
      <c r="B156" s="317">
        <v>1</v>
      </c>
      <c r="C156" s="317">
        <v>1</v>
      </c>
      <c r="D156" s="317">
        <v>1</v>
      </c>
      <c r="E156" s="317">
        <v>1</v>
      </c>
      <c r="F156" s="317">
        <v>1</v>
      </c>
      <c r="G156" s="317">
        <v>1</v>
      </c>
      <c r="H156" s="317">
        <v>1</v>
      </c>
      <c r="I156" s="317">
        <v>1</v>
      </c>
      <c r="J156" s="317">
        <v>1</v>
      </c>
      <c r="K156" s="317">
        <v>1</v>
      </c>
      <c r="L156" s="317">
        <v>1</v>
      </c>
      <c r="M156" s="317">
        <f>'[3]PIGOO DICIEMBRE 2022'!M156</f>
        <v>1</v>
      </c>
      <c r="N156" s="317"/>
      <c r="O156" s="317"/>
      <c r="P156" s="317"/>
      <c r="Q156" s="317"/>
      <c r="R156" s="317"/>
    </row>
    <row r="157" spans="1:19" x14ac:dyDescent="0.25">
      <c r="A157" s="403" t="s">
        <v>243</v>
      </c>
      <c r="B157" s="317">
        <v>2088</v>
      </c>
      <c r="C157" s="317">
        <v>2088</v>
      </c>
      <c r="D157" s="317">
        <v>2088</v>
      </c>
      <c r="E157" s="317">
        <v>2088</v>
      </c>
      <c r="F157" s="317">
        <v>2088</v>
      </c>
      <c r="G157" s="317">
        <v>2088</v>
      </c>
      <c r="H157" s="317">
        <v>2088</v>
      </c>
      <c r="I157" s="317">
        <v>2088</v>
      </c>
      <c r="J157" s="317">
        <v>2088</v>
      </c>
      <c r="K157" s="317">
        <v>2088</v>
      </c>
      <c r="L157" s="317">
        <v>2088</v>
      </c>
      <c r="M157" s="317">
        <f>'[3]PIGOO DICIEMBRE 2022'!M157</f>
        <v>2088</v>
      </c>
      <c r="N157" s="317"/>
      <c r="O157" s="317"/>
      <c r="P157" s="317"/>
      <c r="Q157" s="317"/>
      <c r="R157" s="317"/>
    </row>
    <row r="158" spans="1:19" x14ac:dyDescent="0.25">
      <c r="A158" s="403" t="s">
        <v>244</v>
      </c>
      <c r="B158" s="317">
        <v>820</v>
      </c>
      <c r="C158" s="317">
        <v>781</v>
      </c>
      <c r="D158" s="317">
        <v>802</v>
      </c>
      <c r="E158" s="317">
        <v>817</v>
      </c>
      <c r="F158" s="317">
        <v>867</v>
      </c>
      <c r="G158" s="317">
        <v>913</v>
      </c>
      <c r="H158" s="317">
        <v>811</v>
      </c>
      <c r="I158" s="317">
        <v>746</v>
      </c>
      <c r="J158" s="317">
        <v>787</v>
      </c>
      <c r="K158" s="340">
        <v>810</v>
      </c>
      <c r="L158" s="317">
        <v>827</v>
      </c>
      <c r="M158" s="317">
        <f>'[3]PIGOO DICIEMBRE 2022'!M158</f>
        <v>581</v>
      </c>
      <c r="N158" s="317"/>
      <c r="O158" s="317"/>
      <c r="P158" s="317"/>
      <c r="Q158" s="317"/>
      <c r="R158" s="317"/>
      <c r="S158" s="412">
        <v>15</v>
      </c>
    </row>
    <row r="159" spans="1:19" x14ac:dyDescent="0.25">
      <c r="A159" s="403" t="s">
        <v>245</v>
      </c>
      <c r="B159" s="317">
        <v>167</v>
      </c>
      <c r="C159" s="317">
        <v>217</v>
      </c>
      <c r="D159" s="317">
        <v>218</v>
      </c>
      <c r="E159" s="317">
        <v>228</v>
      </c>
      <c r="F159" s="317">
        <v>234</v>
      </c>
      <c r="G159" s="317">
        <v>235</v>
      </c>
      <c r="H159" s="317">
        <v>234</v>
      </c>
      <c r="I159" s="317">
        <v>236</v>
      </c>
      <c r="J159" s="317">
        <v>239</v>
      </c>
      <c r="K159" s="340">
        <v>243</v>
      </c>
      <c r="L159" s="317">
        <v>245</v>
      </c>
      <c r="M159" s="317">
        <f>'[3]PIGOO DICIEMBRE 2022'!M159</f>
        <v>242</v>
      </c>
      <c r="N159" s="317"/>
      <c r="O159" s="317"/>
      <c r="P159" s="317"/>
      <c r="Q159" s="317"/>
      <c r="R159" s="317"/>
      <c r="S159" s="412">
        <v>16</v>
      </c>
    </row>
    <row r="160" spans="1:19" x14ac:dyDescent="0.25">
      <c r="A160" s="403" t="s">
        <v>246</v>
      </c>
      <c r="B160" s="309"/>
      <c r="C160" s="309"/>
      <c r="D160" s="309"/>
      <c r="E160" s="309"/>
      <c r="F160" s="309"/>
      <c r="G160" s="309"/>
      <c r="H160" s="309"/>
      <c r="I160" s="309"/>
      <c r="J160" s="309"/>
      <c r="K160" s="348"/>
      <c r="L160" s="317"/>
      <c r="M160" s="317">
        <f>'[3]PIGOO DICIEMBRE 2022'!M160</f>
        <v>0</v>
      </c>
      <c r="N160" s="317"/>
      <c r="O160" s="317"/>
      <c r="P160" s="317"/>
      <c r="Q160" s="317"/>
      <c r="R160" s="317"/>
    </row>
    <row r="161" spans="1:18" x14ac:dyDescent="0.25">
      <c r="A161" s="403" t="s">
        <v>247</v>
      </c>
      <c r="B161" s="309"/>
      <c r="C161" s="309"/>
      <c r="D161" s="309"/>
      <c r="E161" s="309"/>
      <c r="F161" s="309"/>
      <c r="G161" s="309"/>
      <c r="H161" s="309"/>
      <c r="I161" s="309"/>
      <c r="J161" s="309"/>
      <c r="K161" s="348"/>
      <c r="L161" s="317"/>
      <c r="M161" s="317">
        <f>'[3]PIGOO DICIEMBRE 2022'!M161</f>
        <v>0</v>
      </c>
      <c r="N161" s="317"/>
      <c r="O161" s="317"/>
      <c r="P161" s="317"/>
      <c r="Q161" s="317"/>
      <c r="R161" s="317"/>
    </row>
    <row r="162" spans="1:18" x14ac:dyDescent="0.25">
      <c r="A162" s="403" t="s">
        <v>248</v>
      </c>
      <c r="B162" s="309"/>
      <c r="C162" s="309"/>
      <c r="D162" s="309"/>
      <c r="E162" s="309"/>
      <c r="F162" s="309"/>
      <c r="G162" s="309"/>
      <c r="H162" s="309"/>
      <c r="I162" s="309"/>
      <c r="J162" s="309"/>
      <c r="K162" s="348"/>
      <c r="L162" s="317"/>
      <c r="M162" s="317">
        <f>'[3]PIGOO DICIEMBRE 2022'!M162</f>
        <v>0</v>
      </c>
      <c r="N162" s="317"/>
      <c r="O162" s="317"/>
      <c r="P162" s="317"/>
      <c r="Q162" s="317"/>
      <c r="R162" s="317"/>
    </row>
    <row r="163" spans="1:18" x14ac:dyDescent="0.25">
      <c r="A163" s="403" t="s">
        <v>249</v>
      </c>
      <c r="B163" s="309"/>
      <c r="C163" s="317"/>
      <c r="D163" s="317"/>
      <c r="E163" s="317"/>
      <c r="F163" s="317"/>
      <c r="G163" s="317"/>
      <c r="H163" s="317"/>
      <c r="I163" s="317"/>
      <c r="J163" s="309"/>
      <c r="K163" s="317"/>
      <c r="L163" s="317"/>
      <c r="M163" s="317">
        <f>'[3]PIGOO DICIEMBRE 2022'!M163</f>
        <v>0</v>
      </c>
      <c r="N163" s="317"/>
      <c r="O163" s="317"/>
      <c r="P163" s="317"/>
      <c r="Q163" s="317"/>
      <c r="R163" s="317"/>
    </row>
    <row r="164" spans="1:18" x14ac:dyDescent="0.25">
      <c r="A164" s="403" t="s">
        <v>250</v>
      </c>
      <c r="B164" s="317"/>
      <c r="C164" s="317"/>
      <c r="D164" s="317"/>
      <c r="E164" s="317"/>
      <c r="F164" s="317"/>
      <c r="G164" s="317"/>
      <c r="H164" s="317"/>
      <c r="I164" s="317"/>
      <c r="J164" s="309"/>
      <c r="K164" s="317"/>
      <c r="L164" s="317"/>
      <c r="M164" s="349">
        <f>'[3]PIGOO DICIEMBRE 2022'!M164</f>
        <v>0</v>
      </c>
      <c r="N164" s="349"/>
      <c r="O164" s="349"/>
      <c r="P164" s="349"/>
      <c r="Q164" s="349"/>
      <c r="R164" s="349"/>
    </row>
    <row r="165" spans="1:18" x14ac:dyDescent="0.25">
      <c r="A165" s="403" t="s">
        <v>251</v>
      </c>
      <c r="B165" s="317"/>
      <c r="C165" s="309"/>
      <c r="D165" s="309"/>
      <c r="E165" s="309"/>
      <c r="F165" s="309"/>
      <c r="G165" s="309"/>
      <c r="H165" s="309"/>
      <c r="I165" s="309"/>
      <c r="J165" s="309"/>
      <c r="K165" s="309"/>
      <c r="L165" s="309"/>
      <c r="M165" s="309">
        <f>'[3]PIGOO DICIEMBRE 2022'!M165</f>
        <v>0</v>
      </c>
      <c r="N165" s="309"/>
      <c r="O165" s="309"/>
      <c r="P165" s="309"/>
      <c r="Q165" s="309"/>
      <c r="R165" s="309"/>
    </row>
    <row r="166" spans="1:18" x14ac:dyDescent="0.25">
      <c r="A166" s="403" t="s">
        <v>252</v>
      </c>
      <c r="B166" s="350">
        <v>0</v>
      </c>
      <c r="C166" s="335">
        <v>0</v>
      </c>
      <c r="D166" s="335">
        <v>0</v>
      </c>
      <c r="E166" s="309"/>
      <c r="F166" s="309"/>
      <c r="G166" s="309"/>
      <c r="H166" s="309"/>
      <c r="I166" s="309"/>
      <c r="J166" s="309"/>
      <c r="K166" s="309">
        <v>0</v>
      </c>
      <c r="L166" s="309"/>
      <c r="M166" s="309">
        <f>'[3]PIGOO DICIEMBRE 2022'!M166</f>
        <v>0</v>
      </c>
      <c r="N166" s="309"/>
      <c r="O166" s="309"/>
      <c r="P166" s="309"/>
      <c r="Q166" s="309"/>
      <c r="R166" s="309"/>
    </row>
    <row r="167" spans="1:18" x14ac:dyDescent="0.25">
      <c r="A167" s="313" t="s">
        <v>253</v>
      </c>
      <c r="B167" s="317">
        <f>+[2]INDICADORES!D188</f>
        <v>0</v>
      </c>
      <c r="C167" s="317">
        <f>+[2]INDICADORES!E188</f>
        <v>0</v>
      </c>
      <c r="D167" s="317">
        <f>+[2]INDICADORES!F188</f>
        <v>0</v>
      </c>
      <c r="E167" s="317">
        <f>+[2]INDICADORES!G188</f>
        <v>0</v>
      </c>
      <c r="F167" s="317">
        <f>+[2]INDICADORES!H188</f>
        <v>0</v>
      </c>
      <c r="G167" s="317">
        <f>+[2]INDICADORES!I188</f>
        <v>0</v>
      </c>
      <c r="H167" s="317">
        <f>+[2]INDICADORES!J188</f>
        <v>0</v>
      </c>
      <c r="I167" s="317">
        <f>+[2]INDICADORES!K188</f>
        <v>0</v>
      </c>
      <c r="J167" s="317">
        <f>+[2]INDICADORES!L188</f>
        <v>0</v>
      </c>
      <c r="K167" s="317">
        <f>+[2]INDICADORES!M188</f>
        <v>0</v>
      </c>
      <c r="L167" s="317">
        <f>+[2]INDICADORES!N188</f>
        <v>0</v>
      </c>
      <c r="M167" s="317">
        <f>'[3]PIGOO DICIEMBRE 2022'!M167</f>
        <v>0</v>
      </c>
      <c r="N167" s="317"/>
      <c r="O167" s="317"/>
      <c r="P167" s="317"/>
      <c r="Q167" s="317"/>
      <c r="R167" s="317"/>
    </row>
    <row r="168" spans="1:18" x14ac:dyDescent="0.25">
      <c r="A168" s="403" t="s">
        <v>254</v>
      </c>
      <c r="B168" s="317">
        <v>2</v>
      </c>
      <c r="C168" s="317"/>
      <c r="D168" s="317"/>
      <c r="E168" s="317">
        <v>0</v>
      </c>
      <c r="F168" s="317"/>
      <c r="G168" s="317"/>
      <c r="H168" s="317"/>
      <c r="I168" s="317"/>
      <c r="J168" s="317"/>
      <c r="K168" s="351"/>
      <c r="L168" s="317"/>
      <c r="M168" s="352">
        <f>'[3]PIGOO DICIEMBRE 2022'!M168</f>
        <v>0</v>
      </c>
      <c r="N168" s="317"/>
      <c r="O168" s="317"/>
      <c r="P168" s="317"/>
      <c r="Q168" s="317"/>
      <c r="R168" s="317"/>
    </row>
    <row r="169" spans="1:18" x14ac:dyDescent="0.25">
      <c r="A169" s="403" t="s">
        <v>255</v>
      </c>
      <c r="B169" s="350">
        <v>2</v>
      </c>
      <c r="C169" s="335"/>
      <c r="D169" s="335"/>
      <c r="E169" s="317">
        <v>0</v>
      </c>
      <c r="F169" s="317"/>
      <c r="G169" s="317"/>
      <c r="H169" s="317"/>
      <c r="I169" s="317"/>
      <c r="J169" s="317"/>
      <c r="K169" s="317"/>
      <c r="L169" s="317"/>
      <c r="M169" s="317">
        <f>'[3]PIGOO DICIEMBRE 2022'!M169</f>
        <v>0</v>
      </c>
      <c r="N169" s="317"/>
      <c r="O169" s="317"/>
      <c r="P169" s="317"/>
      <c r="Q169" s="317"/>
      <c r="R169" s="317"/>
    </row>
    <row r="170" spans="1:18" x14ac:dyDescent="0.25">
      <c r="A170" s="403" t="s">
        <v>256</v>
      </c>
      <c r="B170" s="317"/>
      <c r="C170" s="317"/>
      <c r="D170" s="317"/>
      <c r="E170" s="317"/>
      <c r="F170" s="317"/>
      <c r="G170" s="317"/>
      <c r="H170" s="317"/>
      <c r="I170" s="340"/>
      <c r="J170" s="317"/>
      <c r="K170" s="317"/>
      <c r="L170" s="317"/>
      <c r="M170" s="317">
        <f>'[3]PIGOO DICIEMBRE 2022'!M170</f>
        <v>0</v>
      </c>
      <c r="N170" s="317"/>
      <c r="O170" s="317"/>
      <c r="P170" s="317"/>
      <c r="Q170" s="317"/>
      <c r="R170" s="317"/>
    </row>
    <row r="171" spans="1:18" x14ac:dyDescent="0.25">
      <c r="A171" s="403" t="s">
        <v>257</v>
      </c>
      <c r="B171" s="317">
        <v>2</v>
      </c>
      <c r="C171" s="317">
        <v>2</v>
      </c>
      <c r="D171" s="317">
        <v>2</v>
      </c>
      <c r="E171" s="317">
        <v>2</v>
      </c>
      <c r="F171" s="317">
        <v>2</v>
      </c>
      <c r="G171" s="317">
        <v>2</v>
      </c>
      <c r="H171" s="317">
        <v>2</v>
      </c>
      <c r="I171" s="340">
        <v>2</v>
      </c>
      <c r="J171" s="317">
        <v>2</v>
      </c>
      <c r="K171" s="317">
        <v>2</v>
      </c>
      <c r="L171" s="317">
        <v>2</v>
      </c>
      <c r="M171" s="317">
        <f>'[3]PIGOO DICIEMBRE 2022'!M171</f>
        <v>2</v>
      </c>
      <c r="N171" s="317"/>
      <c r="O171" s="317"/>
      <c r="P171" s="317"/>
      <c r="Q171" s="317"/>
      <c r="R171" s="317"/>
    </row>
    <row r="172" spans="1:18" x14ac:dyDescent="0.25">
      <c r="A172" s="403" t="s">
        <v>258</v>
      </c>
      <c r="B172" s="317">
        <v>2</v>
      </c>
      <c r="C172" s="317">
        <v>2</v>
      </c>
      <c r="D172" s="317">
        <v>2</v>
      </c>
      <c r="E172" s="317">
        <v>2</v>
      </c>
      <c r="F172" s="317">
        <v>2</v>
      </c>
      <c r="G172" s="317">
        <v>2</v>
      </c>
      <c r="H172" s="317">
        <v>2</v>
      </c>
      <c r="I172" s="340">
        <v>2</v>
      </c>
      <c r="J172" s="317">
        <v>2</v>
      </c>
      <c r="K172" s="317">
        <v>2</v>
      </c>
      <c r="L172" s="317">
        <v>2</v>
      </c>
      <c r="M172" s="317">
        <f>'[3]PIGOO DICIEMBRE 2022'!M172</f>
        <v>2</v>
      </c>
      <c r="N172" s="317"/>
      <c r="O172" s="317"/>
      <c r="P172" s="317"/>
      <c r="Q172" s="317"/>
      <c r="R172" s="317"/>
    </row>
    <row r="173" spans="1:18" x14ac:dyDescent="0.25">
      <c r="A173" s="353" t="s">
        <v>259</v>
      </c>
      <c r="B173" s="341">
        <f t="shared" ref="B173:G173" si="61">+B174+B175+B176+B177+B178</f>
        <v>3</v>
      </c>
      <c r="C173" s="341">
        <f t="shared" si="61"/>
        <v>3</v>
      </c>
      <c r="D173" s="341">
        <f t="shared" si="61"/>
        <v>3</v>
      </c>
      <c r="E173" s="341">
        <f t="shared" si="61"/>
        <v>3</v>
      </c>
      <c r="F173" s="341">
        <f t="shared" si="61"/>
        <v>3</v>
      </c>
      <c r="G173" s="341">
        <f t="shared" si="61"/>
        <v>3</v>
      </c>
      <c r="H173" s="341">
        <f>+H174+H175+H176+H177+H178</f>
        <v>3</v>
      </c>
      <c r="I173" s="341">
        <f t="shared" ref="I173:M173" si="62">+I174+I175+I176+I177+I178</f>
        <v>3</v>
      </c>
      <c r="J173" s="341">
        <f t="shared" si="62"/>
        <v>3</v>
      </c>
      <c r="K173" s="341">
        <f t="shared" si="62"/>
        <v>3</v>
      </c>
      <c r="L173" s="341">
        <f t="shared" si="62"/>
        <v>3</v>
      </c>
      <c r="M173" s="341">
        <f>'[3]PIGOO DICIEMBRE 2022'!M173</f>
        <v>3</v>
      </c>
      <c r="N173" s="354"/>
      <c r="O173" s="354"/>
      <c r="P173" s="354"/>
      <c r="Q173" s="354"/>
      <c r="R173" s="354"/>
    </row>
    <row r="174" spans="1:18" x14ac:dyDescent="0.25">
      <c r="A174" s="403" t="s">
        <v>260</v>
      </c>
      <c r="B174" s="317">
        <v>3</v>
      </c>
      <c r="C174" s="317">
        <v>3</v>
      </c>
      <c r="D174" s="317">
        <v>3</v>
      </c>
      <c r="E174" s="317">
        <v>3</v>
      </c>
      <c r="F174" s="317">
        <v>3</v>
      </c>
      <c r="G174" s="317">
        <v>3</v>
      </c>
      <c r="H174" s="317">
        <v>3</v>
      </c>
      <c r="I174" s="340">
        <v>3</v>
      </c>
      <c r="J174" s="340">
        <v>3</v>
      </c>
      <c r="K174" s="317">
        <v>3</v>
      </c>
      <c r="L174" s="317">
        <v>3</v>
      </c>
      <c r="M174" s="317">
        <f>'[3]PIGOO DICIEMBRE 2022'!M174</f>
        <v>3</v>
      </c>
      <c r="N174" s="317"/>
      <c r="O174" s="317"/>
      <c r="P174" s="317"/>
      <c r="Q174" s="317"/>
      <c r="R174" s="317"/>
    </row>
    <row r="175" spans="1:18" x14ac:dyDescent="0.25">
      <c r="A175" s="403" t="s">
        <v>261</v>
      </c>
      <c r="B175" s="317"/>
      <c r="C175" s="317"/>
      <c r="D175" s="317"/>
      <c r="E175" s="317"/>
      <c r="F175" s="317"/>
      <c r="G175" s="317"/>
      <c r="H175" s="317"/>
      <c r="I175" s="340"/>
      <c r="J175" s="340"/>
      <c r="K175" s="317"/>
      <c r="L175" s="317"/>
      <c r="M175" s="317">
        <f>'[3]PIGOO DICIEMBRE 2022'!M175</f>
        <v>0</v>
      </c>
      <c r="N175" s="317"/>
      <c r="O175" s="317"/>
      <c r="P175" s="317"/>
      <c r="Q175" s="317"/>
      <c r="R175" s="317"/>
    </row>
    <row r="176" spans="1:18" x14ac:dyDescent="0.25">
      <c r="A176" s="403" t="s">
        <v>262</v>
      </c>
      <c r="B176" s="355"/>
      <c r="C176" s="355"/>
      <c r="D176" s="355"/>
      <c r="E176" s="355"/>
      <c r="F176" s="355"/>
      <c r="G176" s="355"/>
      <c r="H176" s="317"/>
      <c r="I176" s="340"/>
      <c r="J176" s="340"/>
      <c r="K176" s="317"/>
      <c r="L176" s="317"/>
      <c r="M176" s="317">
        <f>'[3]PIGOO DICIEMBRE 2022'!M176</f>
        <v>0</v>
      </c>
      <c r="N176" s="317"/>
      <c r="O176" s="317"/>
      <c r="P176" s="317"/>
      <c r="Q176" s="317"/>
      <c r="R176" s="317"/>
    </row>
    <row r="177" spans="1:19" x14ac:dyDescent="0.25">
      <c r="A177" s="403" t="s">
        <v>263</v>
      </c>
      <c r="B177" s="355"/>
      <c r="C177" s="355"/>
      <c r="D177" s="355"/>
      <c r="E177" s="355"/>
      <c r="F177" s="355"/>
      <c r="G177" s="355"/>
      <c r="H177" s="317"/>
      <c r="I177" s="340"/>
      <c r="J177" s="340"/>
      <c r="K177" s="317"/>
      <c r="L177" s="317"/>
      <c r="M177" s="317">
        <f>'[3]PIGOO DICIEMBRE 2022'!M177</f>
        <v>0</v>
      </c>
      <c r="N177" s="317"/>
      <c r="O177" s="317"/>
      <c r="P177" s="317"/>
      <c r="Q177" s="317"/>
      <c r="R177" s="317"/>
    </row>
    <row r="178" spans="1:19" x14ac:dyDescent="0.25">
      <c r="A178" s="403" t="s">
        <v>264</v>
      </c>
      <c r="B178" s="355"/>
      <c r="C178" s="355"/>
      <c r="D178" s="355"/>
      <c r="E178" s="355"/>
      <c r="F178" s="355"/>
      <c r="G178" s="355"/>
      <c r="H178" s="317"/>
      <c r="I178" s="340"/>
      <c r="J178" s="340"/>
      <c r="K178" s="317"/>
      <c r="L178" s="317"/>
      <c r="M178" s="317">
        <f>'[3]PIGOO DICIEMBRE 2022'!M178</f>
        <v>0</v>
      </c>
      <c r="N178" s="317"/>
      <c r="O178" s="317"/>
      <c r="P178" s="317"/>
      <c r="Q178" s="317"/>
      <c r="R178" s="317"/>
    </row>
    <row r="179" spans="1:19" ht="22.5" customHeight="1" x14ac:dyDescent="0.25">
      <c r="A179" s="408" t="s">
        <v>265</v>
      </c>
      <c r="B179" s="406">
        <v>2</v>
      </c>
      <c r="C179" s="406">
        <v>2</v>
      </c>
      <c r="D179" s="406">
        <v>2</v>
      </c>
      <c r="E179" s="406">
        <v>2</v>
      </c>
      <c r="F179" s="406">
        <v>2</v>
      </c>
      <c r="G179" s="406">
        <v>2</v>
      </c>
      <c r="H179" s="406">
        <v>2</v>
      </c>
      <c r="I179" s="409">
        <v>2</v>
      </c>
      <c r="J179" s="409">
        <v>2</v>
      </c>
      <c r="K179" s="406">
        <v>2</v>
      </c>
      <c r="L179" s="406">
        <v>2</v>
      </c>
      <c r="M179" s="406">
        <f>'[3]PIGOO DICIEMBRE 2022'!M179</f>
        <v>2</v>
      </c>
      <c r="N179" s="406"/>
      <c r="O179" s="406"/>
      <c r="P179" s="406"/>
      <c r="Q179" s="406"/>
      <c r="R179" s="406"/>
    </row>
    <row r="180" spans="1:19" x14ac:dyDescent="0.25">
      <c r="A180" s="313"/>
      <c r="B180" s="317"/>
      <c r="C180" s="317"/>
      <c r="D180" s="317"/>
      <c r="E180" s="317"/>
      <c r="F180" s="317"/>
      <c r="G180" s="317"/>
      <c r="H180" s="317"/>
      <c r="I180" s="340"/>
      <c r="J180" s="340"/>
      <c r="K180" s="317"/>
      <c r="L180" s="317"/>
      <c r="M180" s="317">
        <f>'[3]PIGOO DICIEMBRE 2022'!M180</f>
        <v>0</v>
      </c>
      <c r="N180" s="317"/>
      <c r="O180" s="317"/>
      <c r="P180" s="317"/>
      <c r="Q180" s="317"/>
      <c r="R180" s="317"/>
    </row>
    <row r="181" spans="1:19" x14ac:dyDescent="0.25">
      <c r="A181" s="403" t="s">
        <v>266</v>
      </c>
      <c r="B181" s="317">
        <v>2</v>
      </c>
      <c r="C181" s="317">
        <v>2</v>
      </c>
      <c r="D181" s="317">
        <v>2</v>
      </c>
      <c r="E181" s="317">
        <v>2</v>
      </c>
      <c r="F181" s="317">
        <v>2</v>
      </c>
      <c r="G181" s="317">
        <v>2</v>
      </c>
      <c r="H181" s="317">
        <v>2</v>
      </c>
      <c r="I181" s="340">
        <v>2</v>
      </c>
      <c r="J181" s="317">
        <v>2</v>
      </c>
      <c r="K181" s="317">
        <v>2</v>
      </c>
      <c r="L181" s="317">
        <v>2</v>
      </c>
      <c r="M181" s="317">
        <f>'[3]PIGOO DICIEMBRE 2022'!M181</f>
        <v>2</v>
      </c>
      <c r="N181" s="317"/>
      <c r="O181" s="317"/>
      <c r="P181" s="317"/>
      <c r="Q181" s="317"/>
      <c r="R181" s="317"/>
    </row>
    <row r="182" spans="1:19" x14ac:dyDescent="0.25">
      <c r="A182" s="403" t="s">
        <v>329</v>
      </c>
      <c r="B182" s="317"/>
      <c r="C182" s="317"/>
      <c r="D182" s="317"/>
      <c r="E182" s="317"/>
      <c r="F182" s="317"/>
      <c r="G182" s="317"/>
      <c r="H182" s="317"/>
      <c r="I182" s="340"/>
      <c r="J182" s="317"/>
      <c r="K182" s="317"/>
      <c r="L182" s="317"/>
      <c r="M182" s="317">
        <f>'[3]PIGOO DICIEMBRE 2022'!M182</f>
        <v>0</v>
      </c>
      <c r="N182" s="317"/>
      <c r="O182" s="317"/>
      <c r="P182" s="317"/>
      <c r="Q182" s="317"/>
      <c r="R182" s="317"/>
    </row>
    <row r="183" spans="1:19" x14ac:dyDescent="0.25">
      <c r="A183" s="356"/>
      <c r="B183" s="357"/>
      <c r="C183" s="357"/>
      <c r="D183" s="357"/>
      <c r="E183" s="357"/>
      <c r="F183" s="357"/>
      <c r="G183" s="357"/>
      <c r="H183" s="357"/>
      <c r="I183" s="357"/>
      <c r="J183" s="357"/>
      <c r="K183" s="357"/>
      <c r="L183" s="357"/>
      <c r="M183" s="357">
        <f>'[3]PIGOO DICIEMBRE 2022'!M183</f>
        <v>0</v>
      </c>
      <c r="N183" s="357"/>
      <c r="O183" s="357"/>
      <c r="P183" s="357"/>
      <c r="Q183" s="357"/>
      <c r="R183" s="357"/>
    </row>
    <row r="184" spans="1:19" x14ac:dyDescent="0.25">
      <c r="A184" s="358"/>
      <c r="B184" s="357"/>
      <c r="C184" s="357"/>
      <c r="D184" s="357"/>
      <c r="E184" s="357"/>
      <c r="F184" s="357"/>
      <c r="G184" s="357"/>
      <c r="H184" s="359"/>
      <c r="I184" s="359"/>
      <c r="J184" s="359"/>
      <c r="K184" s="359"/>
      <c r="L184" s="359"/>
      <c r="M184" s="359">
        <f>'[3]PIGOO DICIEMBRE 2022'!M184</f>
        <v>0</v>
      </c>
      <c r="N184" s="359"/>
      <c r="O184" s="359"/>
      <c r="P184" s="359"/>
      <c r="Q184" s="359"/>
      <c r="R184" s="359"/>
    </row>
    <row r="185" spans="1:19" x14ac:dyDescent="0.25">
      <c r="A185" s="304" t="s">
        <v>267</v>
      </c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  <c r="L185" s="318"/>
      <c r="M185" s="318">
        <f>'[3]PIGOO DICIEMBRE 2022'!M185</f>
        <v>0</v>
      </c>
      <c r="N185" s="318"/>
      <c r="O185" s="318"/>
      <c r="P185" s="318"/>
      <c r="Q185" s="318"/>
      <c r="R185" s="318"/>
    </row>
    <row r="186" spans="1:19" ht="15.75" x14ac:dyDescent="0.25">
      <c r="A186" s="321" t="s">
        <v>268</v>
      </c>
      <c r="B186" s="338">
        <f>SUM(B187:B192)</f>
        <v>5</v>
      </c>
      <c r="C186" s="338">
        <f>SUM(C187:C192)</f>
        <v>5</v>
      </c>
      <c r="D186" s="338">
        <f>SUM(D187:D192)</f>
        <v>5</v>
      </c>
      <c r="E186" s="338">
        <f t="shared" ref="E186:L186" si="63">SUM(E187:E192)</f>
        <v>5</v>
      </c>
      <c r="F186" s="338">
        <f t="shared" si="63"/>
        <v>4</v>
      </c>
      <c r="G186" s="338">
        <f t="shared" si="63"/>
        <v>4</v>
      </c>
      <c r="H186" s="338">
        <f t="shared" si="63"/>
        <v>4</v>
      </c>
      <c r="I186" s="338">
        <f t="shared" si="63"/>
        <v>5</v>
      </c>
      <c r="J186" s="338">
        <f t="shared" si="63"/>
        <v>5</v>
      </c>
      <c r="K186" s="338">
        <f t="shared" si="63"/>
        <v>5</v>
      </c>
      <c r="L186" s="338">
        <f t="shared" si="63"/>
        <v>4</v>
      </c>
      <c r="M186" s="338">
        <f>'[3]PIGOO DICIEMBRE 2022'!M186</f>
        <v>5</v>
      </c>
      <c r="N186" s="338"/>
      <c r="O186" s="338"/>
      <c r="P186" s="338"/>
      <c r="Q186" s="338"/>
      <c r="R186" s="338"/>
    </row>
    <row r="187" spans="1:19" x14ac:dyDescent="0.25">
      <c r="A187" s="400" t="s">
        <v>269</v>
      </c>
      <c r="B187" s="317">
        <v>3</v>
      </c>
      <c r="C187" s="317">
        <v>3</v>
      </c>
      <c r="D187" s="317">
        <v>3</v>
      </c>
      <c r="E187" s="317">
        <v>3</v>
      </c>
      <c r="F187" s="317">
        <v>2</v>
      </c>
      <c r="G187" s="317">
        <v>2</v>
      </c>
      <c r="H187" s="317">
        <v>2</v>
      </c>
      <c r="I187" s="317">
        <v>3</v>
      </c>
      <c r="J187" s="317">
        <v>3</v>
      </c>
      <c r="K187" s="317">
        <v>3</v>
      </c>
      <c r="L187" s="317">
        <v>2</v>
      </c>
      <c r="M187" s="317">
        <f>'[3]PIGOO DICIEMBRE 2022'!M187</f>
        <v>3</v>
      </c>
      <c r="N187" s="317"/>
      <c r="O187" s="317"/>
      <c r="P187" s="317"/>
      <c r="Q187" s="317"/>
      <c r="R187" s="317"/>
      <c r="S187" s="412">
        <v>18</v>
      </c>
    </row>
    <row r="188" spans="1:19" x14ac:dyDescent="0.25">
      <c r="A188" s="400" t="s">
        <v>270</v>
      </c>
      <c r="B188" s="317"/>
      <c r="C188" s="317"/>
      <c r="D188" s="317"/>
      <c r="E188" s="317"/>
      <c r="F188" s="317"/>
      <c r="G188" s="317"/>
      <c r="H188" s="317"/>
      <c r="I188" s="317"/>
      <c r="J188" s="317"/>
      <c r="K188" s="317"/>
      <c r="L188" s="317"/>
      <c r="M188" s="340">
        <f>'[3]PIGOO DICIEMBRE 2022'!M188</f>
        <v>0</v>
      </c>
      <c r="N188" s="317"/>
      <c r="O188" s="317"/>
      <c r="P188" s="317"/>
      <c r="Q188" s="317"/>
      <c r="R188" s="317"/>
      <c r="S188" s="412">
        <v>17</v>
      </c>
    </row>
    <row r="189" spans="1:19" x14ac:dyDescent="0.25">
      <c r="A189" s="400" t="s">
        <v>271</v>
      </c>
      <c r="B189" s="317"/>
      <c r="C189" s="317"/>
      <c r="D189" s="317"/>
      <c r="E189" s="317"/>
      <c r="F189" s="317"/>
      <c r="G189" s="317"/>
      <c r="H189" s="317"/>
      <c r="I189" s="317"/>
      <c r="J189" s="317"/>
      <c r="K189" s="317"/>
      <c r="L189" s="317"/>
      <c r="M189" s="340">
        <f>'[3]PIGOO DICIEMBRE 2022'!M189</f>
        <v>0</v>
      </c>
      <c r="N189" s="317"/>
      <c r="O189" s="317"/>
      <c r="P189" s="317"/>
      <c r="Q189" s="317"/>
      <c r="R189" s="317"/>
      <c r="S189" s="412">
        <v>18</v>
      </c>
    </row>
    <row r="190" spans="1:19" x14ac:dyDescent="0.25">
      <c r="A190" s="400" t="s">
        <v>270</v>
      </c>
      <c r="B190" s="317"/>
      <c r="C190" s="317"/>
      <c r="D190" s="317"/>
      <c r="E190" s="317"/>
      <c r="F190" s="317"/>
      <c r="G190" s="317"/>
      <c r="H190" s="317"/>
      <c r="I190" s="317"/>
      <c r="J190" s="317"/>
      <c r="K190" s="317"/>
      <c r="L190" s="317"/>
      <c r="M190" s="340">
        <f>'[3]PIGOO DICIEMBRE 2022'!M190</f>
        <v>0</v>
      </c>
      <c r="N190" s="317"/>
      <c r="O190" s="317"/>
      <c r="P190" s="317"/>
      <c r="Q190" s="317"/>
      <c r="R190" s="317"/>
      <c r="S190" s="412">
        <v>17</v>
      </c>
    </row>
    <row r="191" spans="1:19" x14ac:dyDescent="0.25">
      <c r="A191" s="400" t="s">
        <v>272</v>
      </c>
      <c r="B191" s="317">
        <v>2</v>
      </c>
      <c r="C191" s="317">
        <v>2</v>
      </c>
      <c r="D191" s="317">
        <v>2</v>
      </c>
      <c r="E191" s="317">
        <v>2</v>
      </c>
      <c r="F191" s="317">
        <v>2</v>
      </c>
      <c r="G191" s="317">
        <v>2</v>
      </c>
      <c r="H191" s="317">
        <v>2</v>
      </c>
      <c r="I191" s="317">
        <v>2</v>
      </c>
      <c r="J191" s="317">
        <v>2</v>
      </c>
      <c r="K191" s="317">
        <v>2</v>
      </c>
      <c r="L191" s="317">
        <v>2</v>
      </c>
      <c r="M191" s="340">
        <f>'[3]PIGOO DICIEMBRE 2022'!M191</f>
        <v>2</v>
      </c>
      <c r="N191" s="317"/>
      <c r="O191" s="317"/>
      <c r="P191" s="317"/>
      <c r="Q191" s="317"/>
      <c r="R191" s="288"/>
      <c r="S191" s="412">
        <v>18</v>
      </c>
    </row>
    <row r="192" spans="1:19" x14ac:dyDescent="0.25">
      <c r="A192" s="400" t="s">
        <v>270</v>
      </c>
      <c r="B192" s="317"/>
      <c r="C192" s="317"/>
      <c r="D192" s="317"/>
      <c r="E192" s="317"/>
      <c r="F192" s="317"/>
      <c r="G192" s="317"/>
      <c r="H192" s="317"/>
      <c r="I192" s="317"/>
      <c r="J192" s="317"/>
      <c r="K192" s="317"/>
      <c r="L192" s="317"/>
      <c r="M192" s="340">
        <f>'[3]PIGOO DICIEMBRE 2022'!M192</f>
        <v>0</v>
      </c>
      <c r="N192" s="317"/>
      <c r="O192" s="317"/>
      <c r="P192" s="317"/>
      <c r="Q192" s="317"/>
      <c r="R192" s="288"/>
      <c r="S192" s="412">
        <v>17</v>
      </c>
    </row>
    <row r="193" spans="1:19" ht="15.75" x14ac:dyDescent="0.25">
      <c r="A193" s="410" t="s">
        <v>330</v>
      </c>
      <c r="B193" s="317"/>
      <c r="C193" s="317"/>
      <c r="D193" s="317"/>
      <c r="E193" s="317"/>
      <c r="F193" s="317"/>
      <c r="G193" s="317"/>
      <c r="H193" s="317"/>
      <c r="I193" s="317"/>
      <c r="J193" s="317"/>
      <c r="K193" s="317"/>
      <c r="L193" s="317"/>
      <c r="M193" s="340">
        <f>'[3]PIGOO DICIEMBRE 2022'!M193</f>
        <v>0</v>
      </c>
      <c r="N193" s="317"/>
      <c r="O193" s="317"/>
      <c r="P193" s="317"/>
      <c r="Q193" s="317"/>
      <c r="R193" s="288"/>
      <c r="S193" s="412">
        <v>20</v>
      </c>
    </row>
    <row r="194" spans="1:19" x14ac:dyDescent="0.25">
      <c r="A194" s="401" t="s">
        <v>273</v>
      </c>
      <c r="B194" s="317"/>
      <c r="C194" s="317"/>
      <c r="D194" s="317"/>
      <c r="E194" s="317"/>
      <c r="F194" s="317"/>
      <c r="G194" s="317"/>
      <c r="H194" s="317"/>
      <c r="I194" s="317"/>
      <c r="J194" s="317"/>
      <c r="K194" s="317"/>
      <c r="L194" s="317"/>
      <c r="M194" s="317">
        <f>'[3]PIGOO DICIEMBRE 2022'!M194</f>
        <v>0</v>
      </c>
      <c r="N194" s="317"/>
      <c r="O194" s="317"/>
      <c r="P194" s="317"/>
      <c r="Q194" s="317"/>
      <c r="R194" s="288"/>
      <c r="S194" s="412">
        <v>19</v>
      </c>
    </row>
    <row r="195" spans="1:19" x14ac:dyDescent="0.25">
      <c r="A195" s="360"/>
      <c r="B195" s="361"/>
      <c r="C195" s="361"/>
      <c r="D195" s="361"/>
      <c r="E195" s="361"/>
      <c r="F195" s="361"/>
      <c r="G195" s="361"/>
      <c r="H195" s="361"/>
      <c r="I195" s="362"/>
      <c r="J195" s="361"/>
      <c r="K195" s="361"/>
      <c r="L195" s="361"/>
      <c r="M195" s="361">
        <f>'[3]PIGOO DICIEMBRE 2022'!M195</f>
        <v>0</v>
      </c>
      <c r="N195" s="361"/>
      <c r="O195" s="361"/>
      <c r="P195" s="361"/>
      <c r="Q195" s="361"/>
      <c r="R195" s="288"/>
    </row>
    <row r="196" spans="1:19" x14ac:dyDescent="0.25">
      <c r="A196" s="304" t="s">
        <v>274</v>
      </c>
      <c r="B196" s="363"/>
      <c r="C196" s="363"/>
      <c r="D196" s="363"/>
      <c r="E196" s="363"/>
      <c r="F196" s="363"/>
      <c r="G196" s="363"/>
      <c r="H196" s="363"/>
      <c r="I196" s="364"/>
      <c r="J196" s="363"/>
      <c r="K196" s="363"/>
      <c r="L196" s="365"/>
      <c r="M196" s="363">
        <f>'[3]PIGOO DICIEMBRE 2022'!M196</f>
        <v>0</v>
      </c>
      <c r="N196" s="363"/>
      <c r="O196" s="363"/>
      <c r="P196" s="363"/>
      <c r="Q196" s="363"/>
      <c r="R196" s="288"/>
    </row>
    <row r="197" spans="1:19" x14ac:dyDescent="0.25">
      <c r="A197" s="403" t="s">
        <v>275</v>
      </c>
      <c r="B197" s="317">
        <v>2</v>
      </c>
      <c r="C197" s="317">
        <v>2</v>
      </c>
      <c r="D197" s="317">
        <v>2</v>
      </c>
      <c r="E197" s="317">
        <v>2</v>
      </c>
      <c r="F197" s="317">
        <v>2</v>
      </c>
      <c r="G197" s="317">
        <v>2</v>
      </c>
      <c r="H197" s="351">
        <v>2</v>
      </c>
      <c r="I197" s="351">
        <v>2</v>
      </c>
      <c r="J197" s="351">
        <v>2</v>
      </c>
      <c r="K197" s="366">
        <v>2</v>
      </c>
      <c r="L197" s="366">
        <v>2</v>
      </c>
      <c r="M197" s="352">
        <f>'[3]PIGOO DICIEMBRE 2022'!M197</f>
        <v>2</v>
      </c>
      <c r="N197" s="317"/>
      <c r="O197" s="317"/>
      <c r="P197" s="317"/>
      <c r="Q197" s="317"/>
      <c r="R197" s="288"/>
    </row>
    <row r="198" spans="1:19" x14ac:dyDescent="0.25">
      <c r="A198" s="403" t="s">
        <v>276</v>
      </c>
      <c r="B198" s="317">
        <v>5</v>
      </c>
      <c r="C198" s="317">
        <v>4</v>
      </c>
      <c r="D198" s="317">
        <v>2</v>
      </c>
      <c r="E198" s="317">
        <v>3</v>
      </c>
      <c r="F198" s="317">
        <v>1</v>
      </c>
      <c r="G198" s="317">
        <v>2</v>
      </c>
      <c r="H198" s="351">
        <v>2</v>
      </c>
      <c r="I198" s="351"/>
      <c r="J198" s="351"/>
      <c r="K198" s="366"/>
      <c r="L198" s="366">
        <v>3</v>
      </c>
      <c r="M198" s="352">
        <f>'[3]PIGOO DICIEMBRE 2022'!M198</f>
        <v>6</v>
      </c>
      <c r="N198" s="317"/>
      <c r="O198" s="317"/>
      <c r="P198" s="317"/>
      <c r="Q198" s="317"/>
      <c r="R198" s="288"/>
    </row>
    <row r="199" spans="1:19" x14ac:dyDescent="0.25">
      <c r="A199" s="403" t="s">
        <v>277</v>
      </c>
      <c r="B199" s="317">
        <v>5</v>
      </c>
      <c r="C199" s="317">
        <v>4</v>
      </c>
      <c r="D199" s="317">
        <v>2</v>
      </c>
      <c r="E199" s="317">
        <v>3</v>
      </c>
      <c r="F199" s="317">
        <v>1</v>
      </c>
      <c r="G199" s="317">
        <v>2</v>
      </c>
      <c r="H199" s="351">
        <v>2</v>
      </c>
      <c r="I199" s="351"/>
      <c r="J199" s="351"/>
      <c r="K199" s="366"/>
      <c r="L199" s="366">
        <v>3</v>
      </c>
      <c r="M199" s="352">
        <f>'[3]PIGOO DICIEMBRE 2022'!M199</f>
        <v>6</v>
      </c>
      <c r="N199" s="317"/>
      <c r="O199" s="317"/>
      <c r="P199" s="317"/>
      <c r="Q199" s="317"/>
      <c r="R199" s="288"/>
    </row>
    <row r="200" spans="1:19" x14ac:dyDescent="0.25">
      <c r="A200" s="403" t="s">
        <v>278</v>
      </c>
      <c r="B200" s="317"/>
      <c r="C200" s="317"/>
      <c r="D200" s="317"/>
      <c r="E200" s="317"/>
      <c r="F200" s="317"/>
      <c r="G200" s="317"/>
      <c r="H200" s="351"/>
      <c r="I200" s="351"/>
      <c r="J200" s="351"/>
      <c r="K200" s="366"/>
      <c r="L200" s="351">
        <v>0</v>
      </c>
      <c r="M200" s="352">
        <f>'[3]PIGOO DICIEMBRE 2022'!M200</f>
        <v>0</v>
      </c>
      <c r="N200" s="317"/>
      <c r="O200" s="317"/>
      <c r="P200" s="317"/>
      <c r="Q200" s="317"/>
      <c r="R200" s="288"/>
    </row>
    <row r="201" spans="1:19" x14ac:dyDescent="0.25">
      <c r="A201" s="403" t="s">
        <v>279</v>
      </c>
      <c r="B201" s="317"/>
      <c r="C201" s="317"/>
      <c r="D201" s="317"/>
      <c r="E201" s="317"/>
      <c r="F201" s="317"/>
      <c r="G201" s="317"/>
      <c r="H201" s="351"/>
      <c r="I201" s="351"/>
      <c r="J201" s="351"/>
      <c r="K201" s="366"/>
      <c r="L201" s="366">
        <v>1</v>
      </c>
      <c r="M201" s="352">
        <f>'[3]PIGOO DICIEMBRE 2022'!M201</f>
        <v>5</v>
      </c>
      <c r="N201" s="317"/>
      <c r="O201" s="317"/>
      <c r="P201" s="317"/>
      <c r="Q201" s="317"/>
      <c r="R201" s="288"/>
    </row>
    <row r="202" spans="1:19" x14ac:dyDescent="0.25">
      <c r="A202" s="403" t="s">
        <v>280</v>
      </c>
      <c r="B202" s="317"/>
      <c r="C202" s="317"/>
      <c r="D202" s="317"/>
      <c r="E202" s="317"/>
      <c r="F202" s="317"/>
      <c r="G202" s="317"/>
      <c r="H202" s="351"/>
      <c r="I202" s="351"/>
      <c r="J202" s="351"/>
      <c r="K202" s="366"/>
      <c r="L202" s="366">
        <v>1</v>
      </c>
      <c r="M202" s="352">
        <f>'[3]PIGOO DICIEMBRE 2022'!M202</f>
        <v>5</v>
      </c>
      <c r="N202" s="317"/>
      <c r="O202" s="317"/>
      <c r="P202" s="317"/>
      <c r="Q202" s="317"/>
      <c r="R202" s="288"/>
    </row>
    <row r="203" spans="1:19" x14ac:dyDescent="0.25">
      <c r="A203" s="403" t="s">
        <v>281</v>
      </c>
      <c r="B203" s="317">
        <v>1164</v>
      </c>
      <c r="C203" s="317">
        <v>1164</v>
      </c>
      <c r="D203" s="317">
        <v>1164</v>
      </c>
      <c r="E203" s="317">
        <v>1169</v>
      </c>
      <c r="F203" s="317">
        <v>1186</v>
      </c>
      <c r="G203" s="317">
        <v>1186</v>
      </c>
      <c r="H203" s="351">
        <v>1186</v>
      </c>
      <c r="I203" s="351">
        <v>1186</v>
      </c>
      <c r="J203" s="351">
        <v>1188</v>
      </c>
      <c r="K203" s="366">
        <v>1188</v>
      </c>
      <c r="L203" s="351">
        <v>1188</v>
      </c>
      <c r="M203" s="352">
        <f>'[3]PIGOO DICIEMBRE 2022'!M203</f>
        <v>1188</v>
      </c>
      <c r="N203" s="317"/>
      <c r="O203" s="317"/>
      <c r="P203" s="317"/>
      <c r="Q203" s="317"/>
      <c r="R203" s="288"/>
      <c r="S203" s="412">
        <v>13</v>
      </c>
    </row>
    <row r="204" spans="1:19" x14ac:dyDescent="0.25">
      <c r="A204" s="411" t="s">
        <v>282</v>
      </c>
      <c r="B204" s="367"/>
      <c r="C204" s="367"/>
      <c r="D204" s="367"/>
      <c r="E204" s="367"/>
      <c r="F204" s="367"/>
      <c r="G204" s="367"/>
      <c r="H204" s="368"/>
      <c r="I204" s="368"/>
      <c r="J204" s="368"/>
      <c r="K204" s="368"/>
      <c r="L204" s="368">
        <v>0</v>
      </c>
      <c r="M204" s="369">
        <f>'[3]PIGOO DICIEMBRE 2022'!M204</f>
        <v>0</v>
      </c>
      <c r="N204" s="367"/>
      <c r="O204" s="367"/>
      <c r="P204" s="367"/>
      <c r="Q204" s="367"/>
      <c r="R204" s="288"/>
    </row>
    <row r="206" spans="1:19" ht="15" customHeight="1" x14ac:dyDescent="0.25">
      <c r="E206" s="519" t="s">
        <v>331</v>
      </c>
      <c r="F206" s="519"/>
      <c r="G206" s="519"/>
      <c r="H206" s="519"/>
      <c r="I206" s="519"/>
      <c r="J206" s="519"/>
      <c r="K206" s="519"/>
      <c r="L206" s="519"/>
      <c r="M206" s="519"/>
    </row>
    <row r="207" spans="1:19" x14ac:dyDescent="0.25">
      <c r="E207" s="519"/>
      <c r="F207" s="519"/>
      <c r="G207" s="519"/>
      <c r="H207" s="519"/>
      <c r="I207" s="519"/>
      <c r="J207" s="519"/>
      <c r="K207" s="519"/>
      <c r="L207" s="519"/>
      <c r="M207" s="519"/>
    </row>
    <row r="208" spans="1:19" x14ac:dyDescent="0.25">
      <c r="E208" s="508"/>
      <c r="F208" s="506"/>
      <c r="G208" s="509"/>
      <c r="H208" s="510"/>
      <c r="I208" s="507"/>
    </row>
    <row r="209" spans="5:9" x14ac:dyDescent="0.25">
      <c r="E209" s="508" t="s">
        <v>332</v>
      </c>
      <c r="F209" s="511"/>
      <c r="G209" s="512" t="s">
        <v>334</v>
      </c>
      <c r="H209" s="512"/>
      <c r="I209" s="512"/>
    </row>
    <row r="210" spans="5:9" x14ac:dyDescent="0.25">
      <c r="E210" s="513" t="s">
        <v>333</v>
      </c>
      <c r="F210" s="507"/>
      <c r="G210" s="514" t="s">
        <v>335</v>
      </c>
      <c r="H210" s="514"/>
      <c r="I210" s="515"/>
    </row>
    <row r="211" spans="5:9" x14ac:dyDescent="0.25">
      <c r="E211" s="516"/>
      <c r="F211" s="517"/>
      <c r="G211" s="517"/>
      <c r="H211" s="516"/>
      <c r="I211" s="516"/>
    </row>
    <row r="212" spans="5:9" x14ac:dyDescent="0.25">
      <c r="E212" s="518"/>
      <c r="F212" s="518"/>
      <c r="G212" s="518"/>
      <c r="H212" s="518"/>
      <c r="I212" s="518"/>
    </row>
  </sheetData>
  <mergeCells count="8">
    <mergeCell ref="G209:I209"/>
    <mergeCell ref="G210:I210"/>
    <mergeCell ref="E206:M207"/>
    <mergeCell ref="A1:R1"/>
    <mergeCell ref="A3:R3"/>
    <mergeCell ref="A4:R4"/>
    <mergeCell ref="A6:R6"/>
    <mergeCell ref="A7:R7"/>
  </mergeCells>
  <printOptions horizontalCentered="1"/>
  <pageMargins left="0.31496062992125984" right="0.31496062992125984" top="0.15748031496062992" bottom="0.15748031496062992" header="0.31496062992125984" footer="0.15748031496062992"/>
  <pageSetup scale="35" orientation="landscape" r:id="rId1"/>
  <rowBreaks count="1" manualBreakCount="1">
    <brk id="102" max="17" man="1"/>
  </rowBreaks>
  <colBreaks count="1" manualBreakCount="1">
    <brk id="1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B228"/>
  <sheetViews>
    <sheetView topLeftCell="A94" zoomScaleNormal="100" workbookViewId="0">
      <selection activeCell="C18" sqref="C18"/>
    </sheetView>
  </sheetViews>
  <sheetFormatPr baseColWidth="10" defaultColWidth="11.42578125" defaultRowHeight="15" x14ac:dyDescent="0.25"/>
  <cols>
    <col min="1" max="1" width="7.85546875" style="2" customWidth="1"/>
    <col min="2" max="2" width="21.42578125" style="3" customWidth="1"/>
    <col min="3" max="3" width="38.140625" style="2" customWidth="1"/>
    <col min="4" max="9" width="14" style="1" customWidth="1"/>
    <col min="10" max="10" width="13.85546875" style="1" customWidth="1"/>
    <col min="11" max="11" width="13.140625" style="1" customWidth="1"/>
    <col min="12" max="12" width="14.28515625" style="1" customWidth="1"/>
    <col min="13" max="13" width="14.42578125" style="1" customWidth="1"/>
    <col min="14" max="14" width="13" style="1" customWidth="1"/>
    <col min="15" max="15" width="13.5703125" style="1" customWidth="1"/>
    <col min="16" max="16" width="3.5703125" style="379" customWidth="1"/>
    <col min="17" max="16384" width="11.42578125" style="1"/>
  </cols>
  <sheetData>
    <row r="1" spans="1:16" x14ac:dyDescent="0.25">
      <c r="A1" s="443" t="s">
        <v>0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</row>
    <row r="2" spans="1:16" x14ac:dyDescent="0.25">
      <c r="A2" s="443"/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</row>
    <row r="3" spans="1:16" x14ac:dyDescent="0.25">
      <c r="A3" s="443"/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</row>
    <row r="4" spans="1:16" x14ac:dyDescent="0.25">
      <c r="A4" s="443"/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</row>
    <row r="5" spans="1:16" ht="15.75" thickBot="1" x14ac:dyDescent="0.3"/>
    <row r="6" spans="1:16" s="7" customFormat="1" ht="15.75" thickBot="1" x14ac:dyDescent="0.3">
      <c r="A6" s="4" t="s">
        <v>1</v>
      </c>
      <c r="B6" s="444" t="s">
        <v>2</v>
      </c>
      <c r="C6" s="445"/>
      <c r="D6" s="5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  <c r="N6" s="6" t="s">
        <v>13</v>
      </c>
      <c r="O6" s="6" t="s">
        <v>14</v>
      </c>
      <c r="P6" s="380"/>
    </row>
    <row r="7" spans="1:16" x14ac:dyDescent="0.25">
      <c r="A7" s="436" t="s">
        <v>15</v>
      </c>
      <c r="B7" s="446" t="s">
        <v>16</v>
      </c>
      <c r="C7" s="374" t="s">
        <v>92</v>
      </c>
      <c r="D7" s="8">
        <f>+PIGOO!B65</f>
        <v>24139</v>
      </c>
      <c r="E7" s="8">
        <f>+PIGOO!C65</f>
        <v>25309</v>
      </c>
      <c r="F7" s="8">
        <f>+PIGOO!D65</f>
        <v>30118</v>
      </c>
      <c r="G7" s="8">
        <f>+PIGOO!E65</f>
        <v>31274</v>
      </c>
      <c r="H7" s="8">
        <f>+PIGOO!F65</f>
        <v>32669</v>
      </c>
      <c r="I7" s="8">
        <f>+PIGOO!G65</f>
        <v>25728</v>
      </c>
      <c r="J7" s="8">
        <f>+PIGOO!H65</f>
        <v>29093</v>
      </c>
      <c r="K7" s="8">
        <f>+PIGOO!I65</f>
        <v>25958</v>
      </c>
      <c r="L7" s="8">
        <f>+PIGOO!J65</f>
        <v>25115</v>
      </c>
      <c r="M7" s="8">
        <f>+PIGOO!K65</f>
        <v>25767</v>
      </c>
      <c r="N7" s="8">
        <f>+PIGOO!L65</f>
        <v>24695</v>
      </c>
      <c r="O7" s="8">
        <f>+PIGOO!M65</f>
        <v>23732</v>
      </c>
      <c r="P7" s="381">
        <v>1</v>
      </c>
    </row>
    <row r="8" spans="1:16" ht="15.75" thickBot="1" x14ac:dyDescent="0.3">
      <c r="A8" s="437"/>
      <c r="B8" s="447"/>
      <c r="C8" s="172" t="s">
        <v>69</v>
      </c>
      <c r="D8" s="11"/>
      <c r="E8" s="12"/>
      <c r="F8" s="12"/>
      <c r="G8" s="156"/>
      <c r="H8" s="156"/>
      <c r="I8" s="167"/>
      <c r="J8" s="167"/>
      <c r="K8" s="13"/>
      <c r="L8" s="12"/>
      <c r="M8" s="12"/>
      <c r="N8" s="12"/>
      <c r="O8" s="12"/>
    </row>
    <row r="9" spans="1:16" x14ac:dyDescent="0.25">
      <c r="B9" s="447"/>
      <c r="C9" s="14" t="s">
        <v>93</v>
      </c>
      <c r="D9" s="15" t="e">
        <f>(D7/D8)-1</f>
        <v>#DIV/0!</v>
      </c>
      <c r="E9" s="15" t="e">
        <f t="shared" ref="E9:F9" si="0">(E7/E8)-1</f>
        <v>#DIV/0!</v>
      </c>
      <c r="F9" s="15" t="e">
        <f t="shared" si="0"/>
        <v>#DIV/0!</v>
      </c>
      <c r="G9" s="15" t="e">
        <f t="shared" ref="G9:J9" si="1">(G7/G8)-1</f>
        <v>#DIV/0!</v>
      </c>
      <c r="H9" s="15" t="e">
        <f t="shared" si="1"/>
        <v>#DIV/0!</v>
      </c>
      <c r="I9" s="15" t="e">
        <f t="shared" si="1"/>
        <v>#DIV/0!</v>
      </c>
      <c r="J9" s="15" t="e">
        <f t="shared" si="1"/>
        <v>#DIV/0!</v>
      </c>
      <c r="K9" s="16" t="e">
        <f>(K7/K8)-1</f>
        <v>#DIV/0!</v>
      </c>
      <c r="L9" s="15" t="e">
        <f t="shared" ref="L9:O9" si="2">(L7/L8)-1</f>
        <v>#DIV/0!</v>
      </c>
      <c r="M9" s="15" t="e">
        <f t="shared" si="2"/>
        <v>#DIV/0!</v>
      </c>
      <c r="N9" s="15" t="e">
        <f t="shared" si="2"/>
        <v>#DIV/0!</v>
      </c>
      <c r="O9" s="15" t="e">
        <f t="shared" si="2"/>
        <v>#DIV/0!</v>
      </c>
    </row>
    <row r="10" spans="1:16" x14ac:dyDescent="0.25">
      <c r="B10" s="447"/>
      <c r="C10" s="10" t="s">
        <v>94</v>
      </c>
      <c r="D10" s="17" t="e">
        <f>(D11/D12)-1</f>
        <v>#DIV/0!</v>
      </c>
      <c r="E10" s="17" t="e">
        <f t="shared" ref="E10:F10" si="3">(E11/E12)-1</f>
        <v>#DIV/0!</v>
      </c>
      <c r="F10" s="17" t="e">
        <f t="shared" si="3"/>
        <v>#DIV/0!</v>
      </c>
      <c r="G10" s="17" t="e">
        <f t="shared" ref="G10:J10" si="4">(G11/G12)-1</f>
        <v>#DIV/0!</v>
      </c>
      <c r="H10" s="17" t="e">
        <f t="shared" si="4"/>
        <v>#DIV/0!</v>
      </c>
      <c r="I10" s="17" t="e">
        <f t="shared" si="4"/>
        <v>#DIV/0!</v>
      </c>
      <c r="J10" s="17" t="e">
        <f t="shared" si="4"/>
        <v>#DIV/0!</v>
      </c>
      <c r="K10" s="18" t="e">
        <f>(K11/K12)-1</f>
        <v>#DIV/0!</v>
      </c>
      <c r="L10" s="17" t="e">
        <f t="shared" ref="L10:O10" si="5">(L11/L12)-1</f>
        <v>#DIV/0!</v>
      </c>
      <c r="M10" s="17" t="e">
        <f t="shared" si="5"/>
        <v>#DIV/0!</v>
      </c>
      <c r="N10" s="17" t="e">
        <f t="shared" si="5"/>
        <v>#DIV/0!</v>
      </c>
      <c r="O10" s="17" t="e">
        <f t="shared" si="5"/>
        <v>#DIV/0!</v>
      </c>
    </row>
    <row r="11" spans="1:16" x14ac:dyDescent="0.25">
      <c r="B11" s="447"/>
      <c r="C11" s="14" t="s">
        <v>95</v>
      </c>
      <c r="D11" s="9">
        <f>+D7</f>
        <v>24139</v>
      </c>
      <c r="E11" s="9">
        <f>D11+E7</f>
        <v>49448</v>
      </c>
      <c r="F11" s="9">
        <f>E11+F7</f>
        <v>79566</v>
      </c>
      <c r="G11" s="9">
        <f t="shared" ref="G11:O12" si="6">F11+G7</f>
        <v>110840</v>
      </c>
      <c r="H11" s="9">
        <f t="shared" si="6"/>
        <v>143509</v>
      </c>
      <c r="I11" s="9">
        <f t="shared" si="6"/>
        <v>169237</v>
      </c>
      <c r="J11" s="9">
        <f t="shared" si="6"/>
        <v>198330</v>
      </c>
      <c r="K11" s="9">
        <f t="shared" si="6"/>
        <v>224288</v>
      </c>
      <c r="L11" s="9">
        <f t="shared" si="6"/>
        <v>249403</v>
      </c>
      <c r="M11" s="9">
        <f t="shared" si="6"/>
        <v>275170</v>
      </c>
      <c r="N11" s="9">
        <f t="shared" si="6"/>
        <v>299865</v>
      </c>
      <c r="O11" s="9">
        <f t="shared" si="6"/>
        <v>323597</v>
      </c>
    </row>
    <row r="12" spans="1:16" ht="15.75" thickBot="1" x14ac:dyDescent="0.3">
      <c r="B12" s="448"/>
      <c r="C12" s="19" t="s">
        <v>70</v>
      </c>
      <c r="D12" s="12">
        <f>+D8</f>
        <v>0</v>
      </c>
      <c r="E12" s="12">
        <f>D12+E8</f>
        <v>0</v>
      </c>
      <c r="F12" s="12">
        <f t="shared" ref="F12" si="7">E12+F8</f>
        <v>0</v>
      </c>
      <c r="G12" s="12">
        <f t="shared" ref="G12:I12" si="8">F12+G8</f>
        <v>0</v>
      </c>
      <c r="H12" s="12">
        <f t="shared" si="8"/>
        <v>0</v>
      </c>
      <c r="I12" s="12">
        <f t="shared" si="8"/>
        <v>0</v>
      </c>
      <c r="J12" s="12">
        <f t="shared" si="6"/>
        <v>0</v>
      </c>
      <c r="K12" s="12">
        <f t="shared" si="6"/>
        <v>0</v>
      </c>
      <c r="L12" s="12">
        <f t="shared" si="6"/>
        <v>0</v>
      </c>
      <c r="M12" s="12">
        <f t="shared" si="6"/>
        <v>0</v>
      </c>
      <c r="N12" s="12">
        <f t="shared" si="6"/>
        <v>0</v>
      </c>
      <c r="O12" s="12">
        <f t="shared" si="6"/>
        <v>0</v>
      </c>
    </row>
    <row r="13" spans="1:16" x14ac:dyDescent="0.25">
      <c r="A13" s="436" t="s">
        <v>15</v>
      </c>
      <c r="B13" s="449" t="s">
        <v>18</v>
      </c>
      <c r="C13" s="386" t="s">
        <v>92</v>
      </c>
      <c r="D13" s="20">
        <f>+PIGOO!B71</f>
        <v>23612</v>
      </c>
      <c r="E13" s="20">
        <f>+PIGOO!C71</f>
        <v>24624</v>
      </c>
      <c r="F13" s="20">
        <f>+PIGOO!D71</f>
        <v>22674</v>
      </c>
      <c r="G13" s="20">
        <f>+PIGOO!E71</f>
        <v>24578</v>
      </c>
      <c r="H13" s="20">
        <f>+PIGOO!F71</f>
        <v>26089</v>
      </c>
      <c r="I13" s="20">
        <f>+PIGOO!G71</f>
        <v>26167</v>
      </c>
      <c r="J13" s="20">
        <f>+PIGOO!H71</f>
        <v>24777</v>
      </c>
      <c r="K13" s="20">
        <f>+PIGOO!I71</f>
        <v>24861</v>
      </c>
      <c r="L13" s="20">
        <f>+PIGOO!J71</f>
        <v>24438</v>
      </c>
      <c r="M13" s="20">
        <f>+PIGOO!K71</f>
        <v>18176</v>
      </c>
      <c r="N13" s="20">
        <f>+PIGOO!L71</f>
        <v>18352</v>
      </c>
      <c r="O13" s="20">
        <f>+PIGOO!M71</f>
        <v>23257</v>
      </c>
      <c r="P13" s="381">
        <v>2</v>
      </c>
    </row>
    <row r="14" spans="1:16" ht="15.75" thickBot="1" x14ac:dyDescent="0.3">
      <c r="A14" s="437"/>
      <c r="B14" s="450"/>
      <c r="C14" s="174" t="s">
        <v>69</v>
      </c>
      <c r="D14" s="24"/>
      <c r="E14" s="25"/>
      <c r="F14" s="25"/>
      <c r="G14" s="25"/>
      <c r="H14" s="171"/>
      <c r="I14" s="25"/>
      <c r="J14" s="25"/>
      <c r="K14" s="26"/>
      <c r="L14" s="25"/>
      <c r="M14" s="25"/>
      <c r="N14" s="25"/>
      <c r="O14" s="25"/>
    </row>
    <row r="15" spans="1:16" x14ac:dyDescent="0.25">
      <c r="B15" s="450"/>
      <c r="C15" s="14" t="s">
        <v>93</v>
      </c>
      <c r="D15" s="15" t="e">
        <f>(D13/D14)-1</f>
        <v>#DIV/0!</v>
      </c>
      <c r="E15" s="15" t="e">
        <f t="shared" ref="E15:J15" si="9">(E13/E14)-1</f>
        <v>#DIV/0!</v>
      </c>
      <c r="F15" s="15" t="e">
        <f t="shared" si="9"/>
        <v>#DIV/0!</v>
      </c>
      <c r="G15" s="15" t="e">
        <f t="shared" si="9"/>
        <v>#DIV/0!</v>
      </c>
      <c r="H15" s="15" t="e">
        <f t="shared" si="9"/>
        <v>#DIV/0!</v>
      </c>
      <c r="I15" s="15" t="e">
        <f t="shared" si="9"/>
        <v>#DIV/0!</v>
      </c>
      <c r="J15" s="15" t="e">
        <f t="shared" si="9"/>
        <v>#DIV/0!</v>
      </c>
      <c r="K15" s="16" t="e">
        <f>(K13/K14)-1</f>
        <v>#DIV/0!</v>
      </c>
      <c r="L15" s="15" t="e">
        <f t="shared" ref="L15:O15" si="10">(L13/L14)-1</f>
        <v>#DIV/0!</v>
      </c>
      <c r="M15" s="15" t="e">
        <f t="shared" si="10"/>
        <v>#DIV/0!</v>
      </c>
      <c r="N15" s="15" t="e">
        <f t="shared" si="10"/>
        <v>#DIV/0!</v>
      </c>
      <c r="O15" s="15" t="e">
        <f t="shared" si="10"/>
        <v>#DIV/0!</v>
      </c>
    </row>
    <row r="16" spans="1:16" x14ac:dyDescent="0.25">
      <c r="B16" s="450"/>
      <c r="C16" s="23" t="s">
        <v>94</v>
      </c>
      <c r="D16" s="27" t="e">
        <f>(D17/D18)-1</f>
        <v>#DIV/0!</v>
      </c>
      <c r="E16" s="27" t="e">
        <f t="shared" ref="E16:J16" si="11">(E17/E18)-1</f>
        <v>#DIV/0!</v>
      </c>
      <c r="F16" s="27" t="e">
        <f t="shared" si="11"/>
        <v>#DIV/0!</v>
      </c>
      <c r="G16" s="27" t="e">
        <f t="shared" si="11"/>
        <v>#DIV/0!</v>
      </c>
      <c r="H16" s="27" t="e">
        <f t="shared" si="11"/>
        <v>#DIV/0!</v>
      </c>
      <c r="I16" s="27" t="e">
        <f t="shared" si="11"/>
        <v>#DIV/0!</v>
      </c>
      <c r="J16" s="27" t="e">
        <f t="shared" si="11"/>
        <v>#DIV/0!</v>
      </c>
      <c r="K16" s="28" t="e">
        <f>(K17/K18)-1</f>
        <v>#DIV/0!</v>
      </c>
      <c r="L16" s="27" t="e">
        <f t="shared" ref="L16:O16" si="12">(L17/L18)-1</f>
        <v>#DIV/0!</v>
      </c>
      <c r="M16" s="27" t="e">
        <f t="shared" si="12"/>
        <v>#DIV/0!</v>
      </c>
      <c r="N16" s="27" t="e">
        <f t="shared" si="12"/>
        <v>#DIV/0!</v>
      </c>
      <c r="O16" s="27" t="e">
        <f t="shared" si="12"/>
        <v>#DIV/0!</v>
      </c>
    </row>
    <row r="17" spans="1:16" x14ac:dyDescent="0.25">
      <c r="B17" s="450"/>
      <c r="C17" s="14" t="s">
        <v>95</v>
      </c>
      <c r="D17" s="9">
        <f>D13</f>
        <v>23612</v>
      </c>
      <c r="E17" s="9">
        <f>D17+E13</f>
        <v>48236</v>
      </c>
      <c r="F17" s="9">
        <f t="shared" ref="F17:I17" si="13">E17+F13</f>
        <v>70910</v>
      </c>
      <c r="G17" s="9">
        <f t="shared" si="13"/>
        <v>95488</v>
      </c>
      <c r="H17" s="9">
        <f t="shared" si="13"/>
        <v>121577</v>
      </c>
      <c r="I17" s="9">
        <f t="shared" si="13"/>
        <v>147744</v>
      </c>
      <c r="J17" s="9">
        <f t="shared" ref="J17" si="14">I17+J13</f>
        <v>172521</v>
      </c>
      <c r="K17" s="9">
        <f t="shared" ref="K17:K18" si="15">J17+K13</f>
        <v>197382</v>
      </c>
      <c r="L17" s="9">
        <f t="shared" ref="L17:L18" si="16">K17+L13</f>
        <v>221820</v>
      </c>
      <c r="M17" s="9">
        <f t="shared" ref="M17:M18" si="17">L17+M13</f>
        <v>239996</v>
      </c>
      <c r="N17" s="9">
        <f t="shared" ref="N17:N18" si="18">M17+N13</f>
        <v>258348</v>
      </c>
      <c r="O17" s="9">
        <f t="shared" ref="O17:O18" si="19">N17+O13</f>
        <v>281605</v>
      </c>
    </row>
    <row r="18" spans="1:16" ht="15.75" thickBot="1" x14ac:dyDescent="0.3">
      <c r="B18" s="451"/>
      <c r="C18" s="29" t="s">
        <v>70</v>
      </c>
      <c r="D18" s="25">
        <f>D14</f>
        <v>0</v>
      </c>
      <c r="E18" s="25">
        <f>D18+E14</f>
        <v>0</v>
      </c>
      <c r="F18" s="25">
        <f t="shared" ref="F18:J18" si="20">E18+F14</f>
        <v>0</v>
      </c>
      <c r="G18" s="25">
        <f t="shared" si="20"/>
        <v>0</v>
      </c>
      <c r="H18" s="25">
        <f t="shared" si="20"/>
        <v>0</v>
      </c>
      <c r="I18" s="25">
        <f t="shared" si="20"/>
        <v>0</v>
      </c>
      <c r="J18" s="25">
        <f t="shared" si="20"/>
        <v>0</v>
      </c>
      <c r="K18" s="25">
        <f t="shared" si="15"/>
        <v>0</v>
      </c>
      <c r="L18" s="25">
        <f t="shared" si="16"/>
        <v>0</v>
      </c>
      <c r="M18" s="25">
        <f t="shared" si="17"/>
        <v>0</v>
      </c>
      <c r="N18" s="25">
        <f t="shared" si="18"/>
        <v>0</v>
      </c>
      <c r="O18" s="25">
        <f t="shared" si="19"/>
        <v>0</v>
      </c>
    </row>
    <row r="19" spans="1:16" ht="15" customHeight="1" x14ac:dyDescent="0.25">
      <c r="A19" s="436" t="s">
        <v>15</v>
      </c>
      <c r="B19" s="449" t="s">
        <v>19</v>
      </c>
      <c r="C19" s="386" t="s">
        <v>92</v>
      </c>
      <c r="D19" s="20">
        <f>+PIGOO!B75+PIGOO!B76</f>
        <v>373</v>
      </c>
      <c r="E19" s="20">
        <f>+PIGOO!C75+PIGOO!C76</f>
        <v>1676</v>
      </c>
      <c r="F19" s="20">
        <f>+PIGOO!D75+PIGOO!D76</f>
        <v>545</v>
      </c>
      <c r="G19" s="20">
        <f>+PIGOO!E75+PIGOO!E76</f>
        <v>1161</v>
      </c>
      <c r="H19" s="20">
        <f>+PIGOO!F75+PIGOO!F76</f>
        <v>980</v>
      </c>
      <c r="I19" s="20">
        <f>+PIGOO!G75+PIGOO!G76</f>
        <v>988</v>
      </c>
      <c r="J19" s="20">
        <f>+PIGOO!H75+PIGOO!H76</f>
        <v>871</v>
      </c>
      <c r="K19" s="20">
        <f>+PIGOO!I75+PIGOO!I76</f>
        <v>892</v>
      </c>
      <c r="L19" s="20">
        <f>+PIGOO!J75+PIGOO!J76</f>
        <v>616</v>
      </c>
      <c r="M19" s="20">
        <f>+PIGOO!K75+PIGOO!K76</f>
        <v>812</v>
      </c>
      <c r="N19" s="20">
        <f>+PIGOO!L75+PIGOO!L76</f>
        <v>1261</v>
      </c>
      <c r="O19" s="20">
        <f>+PIGOO!M75+PIGOO!M76</f>
        <v>895</v>
      </c>
      <c r="P19" s="381">
        <v>22</v>
      </c>
    </row>
    <row r="20" spans="1:16" ht="15.75" thickBot="1" x14ac:dyDescent="0.3">
      <c r="A20" s="437"/>
      <c r="B20" s="450"/>
      <c r="C20" s="174" t="s">
        <v>69</v>
      </c>
      <c r="D20" s="24"/>
      <c r="E20" s="25"/>
      <c r="F20" s="25"/>
      <c r="G20" s="25"/>
      <c r="H20" s="171"/>
      <c r="I20" s="25"/>
      <c r="J20" s="25"/>
      <c r="K20" s="26"/>
      <c r="L20" s="25"/>
      <c r="M20" s="25"/>
      <c r="N20" s="25"/>
      <c r="O20" s="25"/>
    </row>
    <row r="21" spans="1:16" x14ac:dyDescent="0.25">
      <c r="B21" s="450"/>
      <c r="C21" s="14" t="s">
        <v>93</v>
      </c>
      <c r="D21" s="15" t="e">
        <f>(D19/D20)-1</f>
        <v>#DIV/0!</v>
      </c>
      <c r="E21" s="15" t="e">
        <f t="shared" ref="E21:J21" si="21">(E19/E20)-1</f>
        <v>#DIV/0!</v>
      </c>
      <c r="F21" s="15" t="e">
        <f t="shared" si="21"/>
        <v>#DIV/0!</v>
      </c>
      <c r="G21" s="15" t="e">
        <f t="shared" si="21"/>
        <v>#DIV/0!</v>
      </c>
      <c r="H21" s="15" t="e">
        <f t="shared" si="21"/>
        <v>#DIV/0!</v>
      </c>
      <c r="I21" s="15" t="e">
        <f t="shared" si="21"/>
        <v>#DIV/0!</v>
      </c>
      <c r="J21" s="15" t="e">
        <f t="shared" si="21"/>
        <v>#DIV/0!</v>
      </c>
      <c r="K21" s="16" t="e">
        <f>(K19/K20)-1</f>
        <v>#DIV/0!</v>
      </c>
      <c r="L21" s="15" t="e">
        <f t="shared" ref="L21:O21" si="22">(L19/L20)-1</f>
        <v>#DIV/0!</v>
      </c>
      <c r="M21" s="15" t="e">
        <f t="shared" si="22"/>
        <v>#DIV/0!</v>
      </c>
      <c r="N21" s="15" t="e">
        <f t="shared" si="22"/>
        <v>#DIV/0!</v>
      </c>
      <c r="O21" s="15" t="e">
        <f t="shared" si="22"/>
        <v>#DIV/0!</v>
      </c>
    </row>
    <row r="22" spans="1:16" x14ac:dyDescent="0.25">
      <c r="B22" s="450"/>
      <c r="C22" s="23" t="s">
        <v>94</v>
      </c>
      <c r="D22" s="27" t="e">
        <f>(D23/D24)-1</f>
        <v>#DIV/0!</v>
      </c>
      <c r="E22" s="27" t="e">
        <f t="shared" ref="E22:J22" si="23">(E23/E24)-1</f>
        <v>#DIV/0!</v>
      </c>
      <c r="F22" s="27" t="e">
        <f t="shared" si="23"/>
        <v>#DIV/0!</v>
      </c>
      <c r="G22" s="27" t="e">
        <f t="shared" si="23"/>
        <v>#DIV/0!</v>
      </c>
      <c r="H22" s="27" t="e">
        <f t="shared" si="23"/>
        <v>#DIV/0!</v>
      </c>
      <c r="I22" s="27" t="e">
        <f t="shared" si="23"/>
        <v>#DIV/0!</v>
      </c>
      <c r="J22" s="27" t="e">
        <f t="shared" si="23"/>
        <v>#DIV/0!</v>
      </c>
      <c r="K22" s="28" t="e">
        <f>(K23/K24)-1</f>
        <v>#DIV/0!</v>
      </c>
      <c r="L22" s="27" t="e">
        <f t="shared" ref="L22:O22" si="24">(L23/L24)-1</f>
        <v>#DIV/0!</v>
      </c>
      <c r="M22" s="27" t="e">
        <f t="shared" si="24"/>
        <v>#DIV/0!</v>
      </c>
      <c r="N22" s="27" t="e">
        <f t="shared" si="24"/>
        <v>#DIV/0!</v>
      </c>
      <c r="O22" s="27" t="e">
        <f t="shared" si="24"/>
        <v>#DIV/0!</v>
      </c>
    </row>
    <row r="23" spans="1:16" x14ac:dyDescent="0.25">
      <c r="B23" s="450"/>
      <c r="C23" s="14" t="s">
        <v>95</v>
      </c>
      <c r="D23" s="9">
        <f>D19</f>
        <v>373</v>
      </c>
      <c r="E23" s="9">
        <f>D23+E19</f>
        <v>2049</v>
      </c>
      <c r="F23" s="9">
        <f>E23+F19</f>
        <v>2594</v>
      </c>
      <c r="G23" s="9">
        <f t="shared" ref="G23:G24" si="25">F23+G19</f>
        <v>3755</v>
      </c>
      <c r="H23" s="9">
        <f t="shared" ref="H23:H24" si="26">G23+H19</f>
        <v>4735</v>
      </c>
      <c r="I23" s="9">
        <f t="shared" ref="I23:I24" si="27">H23+I19</f>
        <v>5723</v>
      </c>
      <c r="J23" s="9">
        <f t="shared" ref="J23:J24" si="28">I23+J19</f>
        <v>6594</v>
      </c>
      <c r="K23" s="9">
        <f>J23+K19</f>
        <v>7486</v>
      </c>
      <c r="L23" s="9">
        <f t="shared" ref="L23:L24" si="29">K23+L19</f>
        <v>8102</v>
      </c>
      <c r="M23" s="9">
        <f t="shared" ref="M23:M24" si="30">L23+M19</f>
        <v>8914</v>
      </c>
      <c r="N23" s="9">
        <f t="shared" ref="N23:N24" si="31">M23+N19</f>
        <v>10175</v>
      </c>
      <c r="O23" s="9">
        <f t="shared" ref="O23:O24" si="32">N23+O19</f>
        <v>11070</v>
      </c>
    </row>
    <row r="24" spans="1:16" ht="15.75" thickBot="1" x14ac:dyDescent="0.3">
      <c r="B24" s="451"/>
      <c r="C24" s="29" t="s">
        <v>70</v>
      </c>
      <c r="D24" s="25">
        <f>D20</f>
        <v>0</v>
      </c>
      <c r="E24" s="25">
        <f>D24+E20</f>
        <v>0</v>
      </c>
      <c r="F24" s="25">
        <f t="shared" ref="F24" si="33">E24+F20</f>
        <v>0</v>
      </c>
      <c r="G24" s="25">
        <f t="shared" si="25"/>
        <v>0</v>
      </c>
      <c r="H24" s="25">
        <f t="shared" si="26"/>
        <v>0</v>
      </c>
      <c r="I24" s="25">
        <f t="shared" si="27"/>
        <v>0</v>
      </c>
      <c r="J24" s="25">
        <f t="shared" si="28"/>
        <v>0</v>
      </c>
      <c r="K24" s="25">
        <f>J24+K20</f>
        <v>0</v>
      </c>
      <c r="L24" s="25">
        <f t="shared" si="29"/>
        <v>0</v>
      </c>
      <c r="M24" s="25">
        <f t="shared" si="30"/>
        <v>0</v>
      </c>
      <c r="N24" s="25">
        <f t="shared" si="31"/>
        <v>0</v>
      </c>
      <c r="O24" s="25">
        <f t="shared" si="32"/>
        <v>0</v>
      </c>
    </row>
    <row r="25" spans="1:16" ht="15" customHeight="1" x14ac:dyDescent="0.25">
      <c r="A25" s="436" t="s">
        <v>15</v>
      </c>
      <c r="B25" s="449" t="s">
        <v>88</v>
      </c>
      <c r="C25" s="173" t="s">
        <v>92</v>
      </c>
      <c r="D25" s="20"/>
      <c r="E25" s="21"/>
      <c r="F25" s="21"/>
      <c r="G25" s="21"/>
      <c r="H25" s="21"/>
      <c r="I25" s="21"/>
      <c r="J25" s="21"/>
      <c r="K25" s="22"/>
      <c r="L25" s="21"/>
      <c r="M25" s="21"/>
      <c r="N25" s="21"/>
      <c r="O25" s="21"/>
    </row>
    <row r="26" spans="1:16" ht="15.75" thickBot="1" x14ac:dyDescent="0.3">
      <c r="A26" s="437"/>
      <c r="B26" s="450"/>
      <c r="C26" s="174" t="s">
        <v>69</v>
      </c>
      <c r="D26" s="24"/>
      <c r="E26" s="25"/>
      <c r="F26" s="25"/>
      <c r="G26" s="25"/>
      <c r="H26" s="171"/>
      <c r="I26" s="25"/>
      <c r="J26" s="25"/>
      <c r="K26" s="26"/>
      <c r="L26" s="25"/>
      <c r="M26" s="25"/>
      <c r="N26" s="25"/>
      <c r="O26" s="25"/>
    </row>
    <row r="27" spans="1:16" x14ac:dyDescent="0.25">
      <c r="B27" s="450"/>
      <c r="C27" s="14" t="s">
        <v>93</v>
      </c>
      <c r="D27" s="15" t="e">
        <f>(D25/D26)-1</f>
        <v>#DIV/0!</v>
      </c>
      <c r="E27" s="15" t="e">
        <f t="shared" ref="E27:J27" si="34">(E25/E26)-1</f>
        <v>#DIV/0!</v>
      </c>
      <c r="F27" s="15" t="e">
        <f t="shared" si="34"/>
        <v>#DIV/0!</v>
      </c>
      <c r="G27" s="15" t="e">
        <f t="shared" si="34"/>
        <v>#DIV/0!</v>
      </c>
      <c r="H27" s="15" t="e">
        <f t="shared" si="34"/>
        <v>#DIV/0!</v>
      </c>
      <c r="I27" s="15" t="e">
        <f t="shared" si="34"/>
        <v>#DIV/0!</v>
      </c>
      <c r="J27" s="15" t="e">
        <f t="shared" si="34"/>
        <v>#DIV/0!</v>
      </c>
      <c r="K27" s="16" t="e">
        <f>(K25/K26)-1</f>
        <v>#DIV/0!</v>
      </c>
      <c r="L27" s="15" t="e">
        <f t="shared" ref="L27:O27" si="35">(L25/L26)-1</f>
        <v>#DIV/0!</v>
      </c>
      <c r="M27" s="15" t="e">
        <f t="shared" si="35"/>
        <v>#DIV/0!</v>
      </c>
      <c r="N27" s="15" t="e">
        <f t="shared" si="35"/>
        <v>#DIV/0!</v>
      </c>
      <c r="O27" s="15" t="e">
        <f t="shared" si="35"/>
        <v>#DIV/0!</v>
      </c>
    </row>
    <row r="28" spans="1:16" x14ac:dyDescent="0.25">
      <c r="B28" s="450"/>
      <c r="C28" s="23" t="s">
        <v>94</v>
      </c>
      <c r="D28" s="27" t="e">
        <f>(D29/D30)-1</f>
        <v>#DIV/0!</v>
      </c>
      <c r="E28" s="27" t="e">
        <f t="shared" ref="E28:J28" si="36">(E29/E30)-1</f>
        <v>#DIV/0!</v>
      </c>
      <c r="F28" s="27" t="e">
        <f t="shared" si="36"/>
        <v>#DIV/0!</v>
      </c>
      <c r="G28" s="27" t="e">
        <f t="shared" si="36"/>
        <v>#DIV/0!</v>
      </c>
      <c r="H28" s="27" t="e">
        <f t="shared" si="36"/>
        <v>#DIV/0!</v>
      </c>
      <c r="I28" s="27" t="e">
        <f t="shared" si="36"/>
        <v>#DIV/0!</v>
      </c>
      <c r="J28" s="27" t="e">
        <f t="shared" si="36"/>
        <v>#DIV/0!</v>
      </c>
      <c r="K28" s="28" t="e">
        <f>(K29/K30)-1</f>
        <v>#DIV/0!</v>
      </c>
      <c r="L28" s="27" t="e">
        <f t="shared" ref="L28:O28" si="37">(L29/L30)-1</f>
        <v>#DIV/0!</v>
      </c>
      <c r="M28" s="27" t="e">
        <f t="shared" si="37"/>
        <v>#DIV/0!</v>
      </c>
      <c r="N28" s="27" t="e">
        <f t="shared" si="37"/>
        <v>#DIV/0!</v>
      </c>
      <c r="O28" s="27" t="e">
        <f t="shared" si="37"/>
        <v>#DIV/0!</v>
      </c>
    </row>
    <row r="29" spans="1:16" x14ac:dyDescent="0.25">
      <c r="B29" s="450"/>
      <c r="C29" s="14" t="s">
        <v>95</v>
      </c>
      <c r="D29" s="9">
        <f>D25</f>
        <v>0</v>
      </c>
      <c r="E29" s="9">
        <f>D29+E25</f>
        <v>0</v>
      </c>
      <c r="F29" s="9">
        <f>E29+F25</f>
        <v>0</v>
      </c>
      <c r="G29" s="9">
        <f t="shared" ref="G29:J30" si="38">F29+G25</f>
        <v>0</v>
      </c>
      <c r="H29" s="9">
        <f t="shared" si="38"/>
        <v>0</v>
      </c>
      <c r="I29" s="9">
        <f t="shared" si="38"/>
        <v>0</v>
      </c>
      <c r="J29" s="9">
        <f t="shared" si="38"/>
        <v>0</v>
      </c>
      <c r="K29" s="9">
        <f>J29+K25</f>
        <v>0</v>
      </c>
      <c r="L29" s="9">
        <f t="shared" ref="L29:O30" si="39">K29+L25</f>
        <v>0</v>
      </c>
      <c r="M29" s="9">
        <f t="shared" si="39"/>
        <v>0</v>
      </c>
      <c r="N29" s="9">
        <f t="shared" si="39"/>
        <v>0</v>
      </c>
      <c r="O29" s="9">
        <f t="shared" si="39"/>
        <v>0</v>
      </c>
    </row>
    <row r="30" spans="1:16" ht="15.75" thickBot="1" x14ac:dyDescent="0.3">
      <c r="B30" s="451"/>
      <c r="C30" s="29" t="s">
        <v>70</v>
      </c>
      <c r="D30" s="25">
        <f>D26</f>
        <v>0</v>
      </c>
      <c r="E30" s="25">
        <f>D30+E26</f>
        <v>0</v>
      </c>
      <c r="F30" s="25">
        <f t="shared" ref="F30:I30" si="40">E30+F26</f>
        <v>0</v>
      </c>
      <c r="G30" s="25">
        <f t="shared" si="40"/>
        <v>0</v>
      </c>
      <c r="H30" s="25">
        <f t="shared" si="40"/>
        <v>0</v>
      </c>
      <c r="I30" s="25">
        <f t="shared" si="40"/>
        <v>0</v>
      </c>
      <c r="J30" s="25">
        <f t="shared" si="38"/>
        <v>0</v>
      </c>
      <c r="K30" s="25">
        <f>J30+K26</f>
        <v>0</v>
      </c>
      <c r="L30" s="25">
        <f t="shared" si="39"/>
        <v>0</v>
      </c>
      <c r="M30" s="25">
        <f t="shared" si="39"/>
        <v>0</v>
      </c>
      <c r="N30" s="25">
        <f t="shared" si="39"/>
        <v>0</v>
      </c>
      <c r="O30" s="25">
        <f t="shared" si="39"/>
        <v>0</v>
      </c>
    </row>
    <row r="31" spans="1:16" ht="15.75" x14ac:dyDescent="0.25">
      <c r="A31" s="191"/>
      <c r="B31" s="500" t="s">
        <v>20</v>
      </c>
      <c r="C31" s="34" t="s">
        <v>21</v>
      </c>
      <c r="D31" s="35">
        <f>(D13+D25)/D7</f>
        <v>0.97816810969799906</v>
      </c>
      <c r="E31" s="35">
        <f t="shared" ref="E31:O31" si="41">(E13+E25)/E7</f>
        <v>0.97293452921885493</v>
      </c>
      <c r="F31" s="35">
        <f t="shared" si="41"/>
        <v>0.75283883391991502</v>
      </c>
      <c r="G31" s="35">
        <f t="shared" si="41"/>
        <v>0.7858924346102194</v>
      </c>
      <c r="H31" s="35">
        <f t="shared" si="41"/>
        <v>0.79858581529890726</v>
      </c>
      <c r="I31" s="35">
        <f t="shared" si="41"/>
        <v>1.0170631218905473</v>
      </c>
      <c r="J31" s="35">
        <f t="shared" si="41"/>
        <v>0.85164816278829958</v>
      </c>
      <c r="K31" s="35">
        <f t="shared" si="41"/>
        <v>0.95773942522536404</v>
      </c>
      <c r="L31" s="35">
        <f t="shared" si="41"/>
        <v>0.97304399761098948</v>
      </c>
      <c r="M31" s="35">
        <f t="shared" si="41"/>
        <v>0.70539837777001591</v>
      </c>
      <c r="N31" s="35">
        <f t="shared" si="41"/>
        <v>0.74314638590807858</v>
      </c>
      <c r="O31" s="35">
        <f t="shared" si="41"/>
        <v>0.9799848306084612</v>
      </c>
    </row>
    <row r="32" spans="1:16" ht="15.75" x14ac:dyDescent="0.25">
      <c r="A32" s="192"/>
      <c r="B32" s="501"/>
      <c r="C32" s="36" t="s">
        <v>96</v>
      </c>
      <c r="D32" s="37">
        <f>(D17+D29)/D11</f>
        <v>0.97816810969799906</v>
      </c>
      <c r="E32" s="37">
        <f t="shared" ref="E32:O32" si="42">(E17+E29)/E11</f>
        <v>0.97548940300922182</v>
      </c>
      <c r="F32" s="37">
        <f t="shared" si="42"/>
        <v>0.8912098132368097</v>
      </c>
      <c r="G32" s="37">
        <f t="shared" si="42"/>
        <v>0.8614940454709491</v>
      </c>
      <c r="H32" s="37">
        <f t="shared" si="42"/>
        <v>0.84717334801301658</v>
      </c>
      <c r="I32" s="37">
        <f t="shared" si="42"/>
        <v>0.87300058497846211</v>
      </c>
      <c r="J32" s="37">
        <f t="shared" si="42"/>
        <v>0.86986840114959918</v>
      </c>
      <c r="K32" s="37">
        <f t="shared" si="42"/>
        <v>0.88003816521615064</v>
      </c>
      <c r="L32" s="37">
        <f t="shared" si="42"/>
        <v>0.88940389650485363</v>
      </c>
      <c r="M32" s="37">
        <f t="shared" si="42"/>
        <v>0.8721735654322782</v>
      </c>
      <c r="N32" s="37">
        <f t="shared" si="42"/>
        <v>0.86154769646340856</v>
      </c>
      <c r="O32" s="37">
        <f t="shared" si="42"/>
        <v>0.87023365482374682</v>
      </c>
    </row>
    <row r="33" spans="1:16" ht="16.5" thickBot="1" x14ac:dyDescent="0.3">
      <c r="A33" s="193"/>
      <c r="B33" s="502"/>
      <c r="C33" s="38" t="s">
        <v>71</v>
      </c>
      <c r="D33" s="39" t="e">
        <f>(D18+D30)/D12</f>
        <v>#DIV/0!</v>
      </c>
      <c r="E33" s="39" t="e">
        <f t="shared" ref="E33:O33" si="43">(E18+E30)/E12</f>
        <v>#DIV/0!</v>
      </c>
      <c r="F33" s="39" t="e">
        <f t="shared" si="43"/>
        <v>#DIV/0!</v>
      </c>
      <c r="G33" s="39" t="e">
        <f t="shared" si="43"/>
        <v>#DIV/0!</v>
      </c>
      <c r="H33" s="39" t="e">
        <f t="shared" si="43"/>
        <v>#DIV/0!</v>
      </c>
      <c r="I33" s="39" t="e">
        <f t="shared" si="43"/>
        <v>#DIV/0!</v>
      </c>
      <c r="J33" s="39" t="e">
        <f t="shared" si="43"/>
        <v>#DIV/0!</v>
      </c>
      <c r="K33" s="39" t="e">
        <f t="shared" si="43"/>
        <v>#DIV/0!</v>
      </c>
      <c r="L33" s="39" t="e">
        <f t="shared" si="43"/>
        <v>#DIV/0!</v>
      </c>
      <c r="M33" s="39" t="e">
        <f t="shared" si="43"/>
        <v>#DIV/0!</v>
      </c>
      <c r="N33" s="39" t="e">
        <f t="shared" si="43"/>
        <v>#DIV/0!</v>
      </c>
      <c r="O33" s="39" t="e">
        <f t="shared" si="43"/>
        <v>#DIV/0!</v>
      </c>
    </row>
    <row r="34" spans="1:16" ht="15.75" customHeight="1" x14ac:dyDescent="0.25">
      <c r="A34" s="436" t="s">
        <v>15</v>
      </c>
      <c r="B34" s="438" t="s">
        <v>283</v>
      </c>
      <c r="C34" s="387" t="s">
        <v>92</v>
      </c>
      <c r="D34" s="375">
        <f>+PIGOO!B80</f>
        <v>14276</v>
      </c>
      <c r="E34" s="375">
        <f>+PIGOO!C80</f>
        <v>9758</v>
      </c>
      <c r="F34" s="375">
        <f>+PIGOO!D80</f>
        <v>8919</v>
      </c>
      <c r="G34" s="375">
        <f>+PIGOO!E80</f>
        <v>11302</v>
      </c>
      <c r="H34" s="375">
        <f>+PIGOO!F80</f>
        <v>11109</v>
      </c>
      <c r="I34" s="375">
        <f>+PIGOO!G80</f>
        <v>11146</v>
      </c>
      <c r="J34" s="375">
        <f>+PIGOO!H80</f>
        <v>9251</v>
      </c>
      <c r="K34" s="375">
        <f>+PIGOO!I80</f>
        <v>11187</v>
      </c>
      <c r="L34" s="375">
        <f>+PIGOO!J80</f>
        <v>8942</v>
      </c>
      <c r="M34" s="375">
        <f>+PIGOO!K80</f>
        <v>12248</v>
      </c>
      <c r="N34" s="375">
        <f>+PIGOO!L80</f>
        <v>8118</v>
      </c>
      <c r="O34" s="375">
        <f>+PIGOO!M80</f>
        <v>9206</v>
      </c>
      <c r="P34" s="381">
        <v>3</v>
      </c>
    </row>
    <row r="35" spans="1:16" ht="15.75" thickBot="1" x14ac:dyDescent="0.3">
      <c r="A35" s="437"/>
      <c r="B35" s="439"/>
      <c r="C35" s="204" t="s">
        <v>69</v>
      </c>
      <c r="D35" s="199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9"/>
    </row>
    <row r="36" spans="1:16" x14ac:dyDescent="0.25">
      <c r="B36" s="439"/>
      <c r="C36" s="195" t="s">
        <v>93</v>
      </c>
      <c r="D36" s="202" t="e">
        <f>(D34/D35)-1</f>
        <v>#DIV/0!</v>
      </c>
      <c r="E36" s="202" t="e">
        <f t="shared" ref="E36:O36" si="44">(E34/E35)-1</f>
        <v>#DIV/0!</v>
      </c>
      <c r="F36" s="202" t="e">
        <f t="shared" si="44"/>
        <v>#DIV/0!</v>
      </c>
      <c r="G36" s="202" t="e">
        <f t="shared" si="44"/>
        <v>#DIV/0!</v>
      </c>
      <c r="H36" s="202" t="e">
        <f t="shared" si="44"/>
        <v>#DIV/0!</v>
      </c>
      <c r="I36" s="202" t="e">
        <f t="shared" si="44"/>
        <v>#DIV/0!</v>
      </c>
      <c r="J36" s="202" t="e">
        <f t="shared" si="44"/>
        <v>#DIV/0!</v>
      </c>
      <c r="K36" s="202" t="e">
        <f t="shared" si="44"/>
        <v>#DIV/0!</v>
      </c>
      <c r="L36" s="202" t="e">
        <f t="shared" si="44"/>
        <v>#DIV/0!</v>
      </c>
      <c r="M36" s="202" t="e">
        <f t="shared" si="44"/>
        <v>#DIV/0!</v>
      </c>
      <c r="N36" s="202" t="e">
        <f t="shared" si="44"/>
        <v>#DIV/0!</v>
      </c>
      <c r="O36" s="202" t="e">
        <f t="shared" si="44"/>
        <v>#DIV/0!</v>
      </c>
    </row>
    <row r="37" spans="1:16" x14ac:dyDescent="0.25">
      <c r="B37" s="439"/>
      <c r="C37" s="198" t="s">
        <v>94</v>
      </c>
      <c r="D37" s="168" t="e">
        <f>(D38/D39)-1</f>
        <v>#DIV/0!</v>
      </c>
      <c r="E37" s="168" t="e">
        <f t="shared" ref="E37:O37" si="45">(E38/E39)-1</f>
        <v>#DIV/0!</v>
      </c>
      <c r="F37" s="168" t="e">
        <f t="shared" si="45"/>
        <v>#DIV/0!</v>
      </c>
      <c r="G37" s="168" t="e">
        <f t="shared" si="45"/>
        <v>#DIV/0!</v>
      </c>
      <c r="H37" s="168" t="e">
        <f t="shared" si="45"/>
        <v>#DIV/0!</v>
      </c>
      <c r="I37" s="168" t="e">
        <f t="shared" si="45"/>
        <v>#DIV/0!</v>
      </c>
      <c r="J37" s="168" t="e">
        <f t="shared" si="45"/>
        <v>#DIV/0!</v>
      </c>
      <c r="K37" s="168" t="e">
        <f t="shared" si="45"/>
        <v>#DIV/0!</v>
      </c>
      <c r="L37" s="168" t="e">
        <f t="shared" si="45"/>
        <v>#DIV/0!</v>
      </c>
      <c r="M37" s="168" t="e">
        <f t="shared" si="45"/>
        <v>#DIV/0!</v>
      </c>
      <c r="N37" s="168" t="e">
        <f t="shared" si="45"/>
        <v>#DIV/0!</v>
      </c>
      <c r="O37" s="168" t="e">
        <f t="shared" si="45"/>
        <v>#DIV/0!</v>
      </c>
    </row>
    <row r="38" spans="1:16" x14ac:dyDescent="0.25">
      <c r="B38" s="439"/>
      <c r="C38" s="195" t="s">
        <v>95</v>
      </c>
      <c r="D38" s="197">
        <f>+D34</f>
        <v>14276</v>
      </c>
      <c r="E38" s="195">
        <f>+D38+E34</f>
        <v>24034</v>
      </c>
      <c r="F38" s="195">
        <f t="shared" ref="F38:O38" si="46">+E38+F34</f>
        <v>32953</v>
      </c>
      <c r="G38" s="195">
        <f t="shared" si="46"/>
        <v>44255</v>
      </c>
      <c r="H38" s="195">
        <f t="shared" si="46"/>
        <v>55364</v>
      </c>
      <c r="I38" s="195">
        <f t="shared" si="46"/>
        <v>66510</v>
      </c>
      <c r="J38" s="195">
        <f t="shared" si="46"/>
        <v>75761</v>
      </c>
      <c r="K38" s="195">
        <f t="shared" si="46"/>
        <v>86948</v>
      </c>
      <c r="L38" s="195">
        <f t="shared" si="46"/>
        <v>95890</v>
      </c>
      <c r="M38" s="195">
        <f t="shared" si="46"/>
        <v>108138</v>
      </c>
      <c r="N38" s="195">
        <f t="shared" si="46"/>
        <v>116256</v>
      </c>
      <c r="O38" s="197">
        <f t="shared" si="46"/>
        <v>125462</v>
      </c>
    </row>
    <row r="39" spans="1:16" ht="15.75" thickBot="1" x14ac:dyDescent="0.3">
      <c r="B39" s="439"/>
      <c r="C39" s="198" t="s">
        <v>70</v>
      </c>
      <c r="D39" s="200">
        <f>+D35</f>
        <v>0</v>
      </c>
      <c r="E39" s="198">
        <f>+D39+E35</f>
        <v>0</v>
      </c>
      <c r="F39" s="198">
        <f t="shared" ref="F39:O39" si="47">+E39+F35</f>
        <v>0</v>
      </c>
      <c r="G39" s="198">
        <f t="shared" si="47"/>
        <v>0</v>
      </c>
      <c r="H39" s="198">
        <f t="shared" si="47"/>
        <v>0</v>
      </c>
      <c r="I39" s="198">
        <f t="shared" si="47"/>
        <v>0</v>
      </c>
      <c r="J39" s="198">
        <f t="shared" si="47"/>
        <v>0</v>
      </c>
      <c r="K39" s="198">
        <f t="shared" si="47"/>
        <v>0</v>
      </c>
      <c r="L39" s="198">
        <f t="shared" si="47"/>
        <v>0</v>
      </c>
      <c r="M39" s="198">
        <f t="shared" si="47"/>
        <v>0</v>
      </c>
      <c r="N39" s="198">
        <f t="shared" si="47"/>
        <v>0</v>
      </c>
      <c r="O39" s="200">
        <f t="shared" si="47"/>
        <v>0</v>
      </c>
    </row>
    <row r="40" spans="1:16" ht="15" customHeight="1" x14ac:dyDescent="0.25">
      <c r="B40" s="438" t="s">
        <v>284</v>
      </c>
      <c r="C40" s="387" t="s">
        <v>92</v>
      </c>
      <c r="D40" s="375">
        <f>+PIGOO!B81</f>
        <v>2114</v>
      </c>
      <c r="E40" s="375">
        <f>+PIGOO!C81</f>
        <v>1787</v>
      </c>
      <c r="F40" s="375">
        <f>+PIGOO!D81</f>
        <v>2525</v>
      </c>
      <c r="G40" s="375">
        <f>+PIGOO!E81</f>
        <v>3788</v>
      </c>
      <c r="H40" s="375">
        <f>+PIGOO!F81</f>
        <v>2992</v>
      </c>
      <c r="I40" s="375">
        <f>+PIGOO!G81</f>
        <v>1819</v>
      </c>
      <c r="J40" s="375">
        <f>+PIGOO!H81</f>
        <v>2253</v>
      </c>
      <c r="K40" s="375">
        <f>+PIGOO!I81</f>
        <v>2749</v>
      </c>
      <c r="L40" s="375">
        <f>+PIGOO!J81</f>
        <v>2331</v>
      </c>
      <c r="M40" s="375">
        <f>+PIGOO!K81</f>
        <v>2472</v>
      </c>
      <c r="N40" s="375">
        <f>+PIGOO!L81</f>
        <v>1763</v>
      </c>
      <c r="O40" s="375">
        <f>+PIGOO!M81</f>
        <v>3311</v>
      </c>
      <c r="P40" s="381">
        <v>4</v>
      </c>
    </row>
    <row r="41" spans="1:16" x14ac:dyDescent="0.25">
      <c r="B41" s="439"/>
      <c r="C41" s="204" t="s">
        <v>69</v>
      </c>
      <c r="D41" s="199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1:16" x14ac:dyDescent="0.25">
      <c r="B42" s="439"/>
      <c r="C42" s="195" t="s">
        <v>93</v>
      </c>
      <c r="D42" s="202" t="e">
        <f>(D40/D41)-1</f>
        <v>#DIV/0!</v>
      </c>
      <c r="E42" s="202" t="e">
        <f t="shared" ref="E42:O42" si="48">(E40/E41)-1</f>
        <v>#DIV/0!</v>
      </c>
      <c r="F42" s="202" t="e">
        <f t="shared" si="48"/>
        <v>#DIV/0!</v>
      </c>
      <c r="G42" s="202" t="e">
        <f t="shared" si="48"/>
        <v>#DIV/0!</v>
      </c>
      <c r="H42" s="202" t="e">
        <f t="shared" si="48"/>
        <v>#DIV/0!</v>
      </c>
      <c r="I42" s="202" t="e">
        <f t="shared" si="48"/>
        <v>#DIV/0!</v>
      </c>
      <c r="J42" s="202" t="e">
        <f t="shared" si="48"/>
        <v>#DIV/0!</v>
      </c>
      <c r="K42" s="202" t="e">
        <f t="shared" si="48"/>
        <v>#DIV/0!</v>
      </c>
      <c r="L42" s="202" t="e">
        <f t="shared" si="48"/>
        <v>#DIV/0!</v>
      </c>
      <c r="M42" s="202" t="e">
        <f t="shared" si="48"/>
        <v>#DIV/0!</v>
      </c>
      <c r="N42" s="202" t="e">
        <f t="shared" si="48"/>
        <v>#DIV/0!</v>
      </c>
      <c r="O42" s="202" t="e">
        <f t="shared" si="48"/>
        <v>#DIV/0!</v>
      </c>
    </row>
    <row r="43" spans="1:16" x14ac:dyDescent="0.25">
      <c r="B43" s="439"/>
      <c r="C43" s="198" t="s">
        <v>94</v>
      </c>
      <c r="D43" s="168" t="e">
        <f>(D44/D45)-1</f>
        <v>#DIV/0!</v>
      </c>
      <c r="E43" s="168" t="e">
        <f t="shared" ref="E43:O43" si="49">(E44/E45)-1</f>
        <v>#DIV/0!</v>
      </c>
      <c r="F43" s="168" t="e">
        <f t="shared" si="49"/>
        <v>#DIV/0!</v>
      </c>
      <c r="G43" s="168" t="e">
        <f t="shared" si="49"/>
        <v>#DIV/0!</v>
      </c>
      <c r="H43" s="168" t="e">
        <f t="shared" si="49"/>
        <v>#DIV/0!</v>
      </c>
      <c r="I43" s="168" t="e">
        <f t="shared" si="49"/>
        <v>#DIV/0!</v>
      </c>
      <c r="J43" s="168" t="e">
        <f t="shared" si="49"/>
        <v>#DIV/0!</v>
      </c>
      <c r="K43" s="168" t="e">
        <f t="shared" si="49"/>
        <v>#DIV/0!</v>
      </c>
      <c r="L43" s="168" t="e">
        <f t="shared" si="49"/>
        <v>#DIV/0!</v>
      </c>
      <c r="M43" s="168" t="e">
        <f t="shared" si="49"/>
        <v>#DIV/0!</v>
      </c>
      <c r="N43" s="168" t="e">
        <f t="shared" si="49"/>
        <v>#DIV/0!</v>
      </c>
      <c r="O43" s="168" t="e">
        <f t="shared" si="49"/>
        <v>#DIV/0!</v>
      </c>
    </row>
    <row r="44" spans="1:16" x14ac:dyDescent="0.25">
      <c r="B44" s="439"/>
      <c r="C44" s="195" t="s">
        <v>95</v>
      </c>
      <c r="D44" s="197">
        <f>+D40</f>
        <v>2114</v>
      </c>
      <c r="E44" s="195">
        <f>+D44+E40</f>
        <v>3901</v>
      </c>
      <c r="F44" s="195">
        <f t="shared" ref="F44:O44" si="50">+E44+F40</f>
        <v>6426</v>
      </c>
      <c r="G44" s="195">
        <f t="shared" si="50"/>
        <v>10214</v>
      </c>
      <c r="H44" s="195">
        <f t="shared" si="50"/>
        <v>13206</v>
      </c>
      <c r="I44" s="195">
        <f t="shared" si="50"/>
        <v>15025</v>
      </c>
      <c r="J44" s="195">
        <f t="shared" si="50"/>
        <v>17278</v>
      </c>
      <c r="K44" s="195">
        <f t="shared" si="50"/>
        <v>20027</v>
      </c>
      <c r="L44" s="195">
        <f t="shared" si="50"/>
        <v>22358</v>
      </c>
      <c r="M44" s="195">
        <f t="shared" si="50"/>
        <v>24830</v>
      </c>
      <c r="N44" s="195">
        <f t="shared" si="50"/>
        <v>26593</v>
      </c>
      <c r="O44" s="197">
        <f t="shared" si="50"/>
        <v>29904</v>
      </c>
    </row>
    <row r="45" spans="1:16" ht="15.75" thickBot="1" x14ac:dyDescent="0.3">
      <c r="B45" s="439"/>
      <c r="C45" s="198" t="s">
        <v>70</v>
      </c>
      <c r="D45" s="200">
        <f>+D41</f>
        <v>0</v>
      </c>
      <c r="E45" s="198">
        <f>+D45+E41</f>
        <v>0</v>
      </c>
      <c r="F45" s="198">
        <f t="shared" ref="F45:O45" si="51">+E45+F41</f>
        <v>0</v>
      </c>
      <c r="G45" s="198">
        <f t="shared" si="51"/>
        <v>0</v>
      </c>
      <c r="H45" s="198">
        <f t="shared" si="51"/>
        <v>0</v>
      </c>
      <c r="I45" s="198">
        <f t="shared" si="51"/>
        <v>0</v>
      </c>
      <c r="J45" s="198">
        <f t="shared" si="51"/>
        <v>0</v>
      </c>
      <c r="K45" s="198">
        <f t="shared" si="51"/>
        <v>0</v>
      </c>
      <c r="L45" s="198">
        <f t="shared" si="51"/>
        <v>0</v>
      </c>
      <c r="M45" s="198">
        <f t="shared" si="51"/>
        <v>0</v>
      </c>
      <c r="N45" s="198">
        <f t="shared" si="51"/>
        <v>0</v>
      </c>
      <c r="O45" s="200">
        <f t="shared" si="51"/>
        <v>0</v>
      </c>
    </row>
    <row r="46" spans="1:16" x14ac:dyDescent="0.25">
      <c r="A46" s="436" t="s">
        <v>15</v>
      </c>
      <c r="B46" s="438" t="s">
        <v>78</v>
      </c>
      <c r="C46" s="203" t="s">
        <v>92</v>
      </c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6"/>
      <c r="O46" s="196"/>
    </row>
    <row r="47" spans="1:16" ht="15.75" thickBot="1" x14ac:dyDescent="0.3">
      <c r="A47" s="437"/>
      <c r="B47" s="439"/>
      <c r="C47" s="204" t="s">
        <v>69</v>
      </c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9"/>
      <c r="O47" s="199"/>
    </row>
    <row r="48" spans="1:16" x14ac:dyDescent="0.25">
      <c r="B48" s="439"/>
      <c r="C48" s="195" t="s">
        <v>93</v>
      </c>
      <c r="D48" s="202" t="e">
        <f>(D46/D47)-1</f>
        <v>#DIV/0!</v>
      </c>
      <c r="E48" s="202" t="e">
        <f t="shared" ref="E48:O48" si="52">(E46/E47)-1</f>
        <v>#DIV/0!</v>
      </c>
      <c r="F48" s="202" t="e">
        <f t="shared" si="52"/>
        <v>#DIV/0!</v>
      </c>
      <c r="G48" s="202" t="e">
        <f t="shared" si="52"/>
        <v>#DIV/0!</v>
      </c>
      <c r="H48" s="202" t="e">
        <f t="shared" si="52"/>
        <v>#DIV/0!</v>
      </c>
      <c r="I48" s="202" t="e">
        <f t="shared" si="52"/>
        <v>#DIV/0!</v>
      </c>
      <c r="J48" s="202" t="e">
        <f t="shared" si="52"/>
        <v>#DIV/0!</v>
      </c>
      <c r="K48" s="202" t="e">
        <f t="shared" si="52"/>
        <v>#DIV/0!</v>
      </c>
      <c r="L48" s="202" t="e">
        <f t="shared" si="52"/>
        <v>#DIV/0!</v>
      </c>
      <c r="M48" s="202" t="e">
        <f t="shared" si="52"/>
        <v>#DIV/0!</v>
      </c>
      <c r="N48" s="202" t="e">
        <f t="shared" si="52"/>
        <v>#DIV/0!</v>
      </c>
      <c r="O48" s="202" t="e">
        <f t="shared" si="52"/>
        <v>#DIV/0!</v>
      </c>
    </row>
    <row r="49" spans="1:16" x14ac:dyDescent="0.25">
      <c r="B49" s="439"/>
      <c r="C49" s="198" t="s">
        <v>94</v>
      </c>
      <c r="D49" s="168" t="e">
        <f>(D50/D51)-1</f>
        <v>#DIV/0!</v>
      </c>
      <c r="E49" s="168" t="e">
        <f t="shared" ref="E49:O49" si="53">(E50/E51)-1</f>
        <v>#DIV/0!</v>
      </c>
      <c r="F49" s="168" t="e">
        <f t="shared" si="53"/>
        <v>#DIV/0!</v>
      </c>
      <c r="G49" s="168" t="e">
        <f t="shared" si="53"/>
        <v>#DIV/0!</v>
      </c>
      <c r="H49" s="168" t="e">
        <f t="shared" si="53"/>
        <v>#DIV/0!</v>
      </c>
      <c r="I49" s="168" t="e">
        <f t="shared" si="53"/>
        <v>#DIV/0!</v>
      </c>
      <c r="J49" s="168" t="e">
        <f t="shared" si="53"/>
        <v>#DIV/0!</v>
      </c>
      <c r="K49" s="168" t="e">
        <f t="shared" si="53"/>
        <v>#DIV/0!</v>
      </c>
      <c r="L49" s="168" t="e">
        <f t="shared" si="53"/>
        <v>#DIV/0!</v>
      </c>
      <c r="M49" s="168" t="e">
        <f t="shared" si="53"/>
        <v>#DIV/0!</v>
      </c>
      <c r="N49" s="168" t="e">
        <f t="shared" si="53"/>
        <v>#DIV/0!</v>
      </c>
      <c r="O49" s="168" t="e">
        <f t="shared" si="53"/>
        <v>#DIV/0!</v>
      </c>
    </row>
    <row r="50" spans="1:16" x14ac:dyDescent="0.25">
      <c r="B50" s="439"/>
      <c r="C50" s="195" t="s">
        <v>95</v>
      </c>
      <c r="D50" s="195">
        <f>+D46</f>
        <v>0</v>
      </c>
      <c r="E50" s="195">
        <f>+D50+E46</f>
        <v>0</v>
      </c>
      <c r="F50" s="195">
        <f t="shared" ref="F50:O50" si="54">+E50+F46</f>
        <v>0</v>
      </c>
      <c r="G50" s="195">
        <f t="shared" si="54"/>
        <v>0</v>
      </c>
      <c r="H50" s="195">
        <f t="shared" si="54"/>
        <v>0</v>
      </c>
      <c r="I50" s="195">
        <f t="shared" si="54"/>
        <v>0</v>
      </c>
      <c r="J50" s="195">
        <f t="shared" si="54"/>
        <v>0</v>
      </c>
      <c r="K50" s="195">
        <f t="shared" si="54"/>
        <v>0</v>
      </c>
      <c r="L50" s="195">
        <f t="shared" si="54"/>
        <v>0</v>
      </c>
      <c r="M50" s="195">
        <f t="shared" si="54"/>
        <v>0</v>
      </c>
      <c r="N50" s="195">
        <f t="shared" si="54"/>
        <v>0</v>
      </c>
      <c r="O50" s="197">
        <f t="shared" si="54"/>
        <v>0</v>
      </c>
    </row>
    <row r="51" spans="1:16" ht="15.75" thickBot="1" x14ac:dyDescent="0.3">
      <c r="B51" s="439"/>
      <c r="C51" s="201" t="s">
        <v>70</v>
      </c>
      <c r="D51" s="201">
        <f>+D47</f>
        <v>0</v>
      </c>
      <c r="E51" s="201">
        <f>+D51+E47</f>
        <v>0</v>
      </c>
      <c r="F51" s="201">
        <f t="shared" ref="F51:O51" si="55">+E51+F47</f>
        <v>0</v>
      </c>
      <c r="G51" s="201">
        <f t="shared" si="55"/>
        <v>0</v>
      </c>
      <c r="H51" s="201">
        <f t="shared" si="55"/>
        <v>0</v>
      </c>
      <c r="I51" s="201">
        <f t="shared" si="55"/>
        <v>0</v>
      </c>
      <c r="J51" s="201">
        <f t="shared" si="55"/>
        <v>0</v>
      </c>
      <c r="K51" s="201">
        <f t="shared" si="55"/>
        <v>0</v>
      </c>
      <c r="L51" s="201">
        <f t="shared" si="55"/>
        <v>0</v>
      </c>
      <c r="M51" s="201">
        <f t="shared" si="55"/>
        <v>0</v>
      </c>
      <c r="N51" s="201">
        <f t="shared" si="55"/>
        <v>0</v>
      </c>
      <c r="O51" s="200">
        <f t="shared" si="55"/>
        <v>0</v>
      </c>
    </row>
    <row r="52" spans="1:16" ht="15.75" x14ac:dyDescent="0.25">
      <c r="A52" s="191"/>
      <c r="B52" s="500" t="s">
        <v>24</v>
      </c>
      <c r="C52" s="34" t="s">
        <v>21</v>
      </c>
      <c r="D52" s="190">
        <f>+D34/D13</f>
        <v>0.60460782652888367</v>
      </c>
      <c r="E52" s="190">
        <f t="shared" ref="E52:O52" si="56">+E34/E13</f>
        <v>0.39628005198180638</v>
      </c>
      <c r="F52" s="190">
        <f t="shared" si="56"/>
        <v>0.39335803122519186</v>
      </c>
      <c r="G52" s="190">
        <f t="shared" si="56"/>
        <v>0.45984213524290013</v>
      </c>
      <c r="H52" s="190">
        <f t="shared" si="56"/>
        <v>0.42581164475449423</v>
      </c>
      <c r="I52" s="190">
        <f t="shared" si="56"/>
        <v>0.42595635724385678</v>
      </c>
      <c r="J52" s="190">
        <f t="shared" si="56"/>
        <v>0.37337046454373007</v>
      </c>
      <c r="K52" s="190">
        <f t="shared" si="56"/>
        <v>0.44998189936044408</v>
      </c>
      <c r="L52" s="190">
        <f t="shared" si="56"/>
        <v>0.36590555691955151</v>
      </c>
      <c r="M52" s="190">
        <f t="shared" si="56"/>
        <v>0.67385563380281688</v>
      </c>
      <c r="N52" s="190">
        <f t="shared" si="56"/>
        <v>0.44234960767218834</v>
      </c>
      <c r="O52" s="190">
        <f t="shared" si="56"/>
        <v>0.39583781227157416</v>
      </c>
    </row>
    <row r="53" spans="1:16" ht="15.75" x14ac:dyDescent="0.25">
      <c r="A53" s="192"/>
      <c r="B53" s="501"/>
      <c r="C53" s="36" t="s">
        <v>96</v>
      </c>
      <c r="D53" s="37">
        <f>+D38/D17</f>
        <v>0.60460782652888367</v>
      </c>
      <c r="E53" s="37">
        <f t="shared" ref="E53:O53" si="57">+E38/E17</f>
        <v>0.49825856206982339</v>
      </c>
      <c r="F53" s="37">
        <f t="shared" si="57"/>
        <v>0.46471583697644903</v>
      </c>
      <c r="G53" s="37">
        <f t="shared" si="57"/>
        <v>0.46346137734584453</v>
      </c>
      <c r="H53" s="37">
        <f t="shared" si="57"/>
        <v>0.45538218577527001</v>
      </c>
      <c r="I53" s="37">
        <f t="shared" si="57"/>
        <v>0.45017056530214428</v>
      </c>
      <c r="J53" s="37">
        <f t="shared" si="57"/>
        <v>0.43914074228644628</v>
      </c>
      <c r="K53" s="37">
        <f t="shared" si="57"/>
        <v>0.4405062265049498</v>
      </c>
      <c r="L53" s="37">
        <f t="shared" si="57"/>
        <v>0.43228744026688304</v>
      </c>
      <c r="M53" s="37">
        <f t="shared" si="57"/>
        <v>0.45058250970849512</v>
      </c>
      <c r="N53" s="37">
        <f t="shared" si="57"/>
        <v>0.44999767755121001</v>
      </c>
      <c r="O53" s="37">
        <f t="shared" si="57"/>
        <v>0.4455247598586673</v>
      </c>
    </row>
    <row r="54" spans="1:16" ht="16.5" thickBot="1" x14ac:dyDescent="0.3">
      <c r="A54" s="193"/>
      <c r="B54" s="502"/>
      <c r="C54" s="38" t="s">
        <v>71</v>
      </c>
      <c r="D54" s="39" t="e">
        <f>+D39/D18</f>
        <v>#DIV/0!</v>
      </c>
      <c r="E54" s="39" t="e">
        <f t="shared" ref="E54:O54" si="58">+E39/E18</f>
        <v>#DIV/0!</v>
      </c>
      <c r="F54" s="39" t="e">
        <f t="shared" si="58"/>
        <v>#DIV/0!</v>
      </c>
      <c r="G54" s="39" t="e">
        <f t="shared" si="58"/>
        <v>#DIV/0!</v>
      </c>
      <c r="H54" s="39" t="e">
        <f t="shared" si="58"/>
        <v>#DIV/0!</v>
      </c>
      <c r="I54" s="39" t="e">
        <f t="shared" si="58"/>
        <v>#DIV/0!</v>
      </c>
      <c r="J54" s="39" t="e">
        <f t="shared" si="58"/>
        <v>#DIV/0!</v>
      </c>
      <c r="K54" s="39" t="e">
        <f t="shared" si="58"/>
        <v>#DIV/0!</v>
      </c>
      <c r="L54" s="39" t="e">
        <f t="shared" si="58"/>
        <v>#DIV/0!</v>
      </c>
      <c r="M54" s="39" t="e">
        <f t="shared" si="58"/>
        <v>#DIV/0!</v>
      </c>
      <c r="N54" s="39" t="e">
        <f t="shared" si="58"/>
        <v>#DIV/0!</v>
      </c>
      <c r="O54" s="39" t="e">
        <f t="shared" si="58"/>
        <v>#DIV/0!</v>
      </c>
    </row>
    <row r="55" spans="1:16" x14ac:dyDescent="0.25">
      <c r="A55" s="454" t="s">
        <v>22</v>
      </c>
      <c r="B55" s="473" t="s">
        <v>86</v>
      </c>
      <c r="C55" s="374" t="s">
        <v>92</v>
      </c>
      <c r="D55" s="20">
        <f>+PIGOO!B93+PIGOO!B94+PIGOO!B95</f>
        <v>168311.08000000002</v>
      </c>
      <c r="E55" s="20">
        <f>+PIGOO!C93+PIGOO!C94+PIGOO!C95</f>
        <v>166880.09</v>
      </c>
      <c r="F55" s="20">
        <f>+PIGOO!D93+PIGOO!D94+PIGOO!D95</f>
        <v>164446.1</v>
      </c>
      <c r="G55" s="20">
        <f>+PIGOO!E93+PIGOO!E94+PIGOO!E95</f>
        <v>175070.99</v>
      </c>
      <c r="H55" s="20">
        <f>+PIGOO!F93+PIGOO!F94+PIGOO!F95</f>
        <v>201913.15000000002</v>
      </c>
      <c r="I55" s="20">
        <f>+PIGOO!G93+PIGOO!G94+PIGOO!G95</f>
        <v>198007.72999999998</v>
      </c>
      <c r="J55" s="20">
        <f>+PIGOO!H93+PIGOO!H94+PIGOO!H95</f>
        <v>186149.65</v>
      </c>
      <c r="K55" s="20">
        <f>+PIGOO!I93+PIGOO!I94+PIGOO!I95</f>
        <v>189496.91999999998</v>
      </c>
      <c r="L55" s="20">
        <f>+PIGOO!J93+PIGOO!J94+PIGOO!J95</f>
        <v>251924.67</v>
      </c>
      <c r="M55" s="20">
        <f>+PIGOO!K93+PIGOO!K94+PIGOO!K95</f>
        <v>191346.66999999998</v>
      </c>
      <c r="N55" s="20">
        <f>+PIGOO!L93+PIGOO!L94+PIGOO!L95</f>
        <v>184258.73</v>
      </c>
      <c r="O55" s="20">
        <f>+PIGOO!M93+PIGOO!M94+PIGOO!M95</f>
        <v>177351.13</v>
      </c>
      <c r="P55" s="381">
        <v>5</v>
      </c>
    </row>
    <row r="56" spans="1:16" ht="15.75" thickBot="1" x14ac:dyDescent="0.3">
      <c r="A56" s="455"/>
      <c r="B56" s="465"/>
      <c r="C56" s="175" t="s">
        <v>69</v>
      </c>
      <c r="D56" s="41"/>
      <c r="E56" s="42"/>
      <c r="F56" s="42"/>
      <c r="G56" s="42"/>
      <c r="H56" s="42"/>
      <c r="I56" s="42"/>
      <c r="J56" s="42"/>
      <c r="K56" s="43"/>
      <c r="L56" s="42"/>
      <c r="M56" s="42"/>
      <c r="N56" s="42"/>
      <c r="O56" s="42"/>
    </row>
    <row r="57" spans="1:16" x14ac:dyDescent="0.25">
      <c r="B57" s="465"/>
      <c r="C57" s="14" t="s">
        <v>93</v>
      </c>
      <c r="D57" s="15" t="e">
        <f>(D55/D56)-1</f>
        <v>#DIV/0!</v>
      </c>
      <c r="E57" s="15" t="e">
        <f t="shared" ref="E57:J57" si="59">(E55/E56)-1</f>
        <v>#DIV/0!</v>
      </c>
      <c r="F57" s="15" t="e">
        <f t="shared" si="59"/>
        <v>#DIV/0!</v>
      </c>
      <c r="G57" s="15" t="e">
        <f t="shared" si="59"/>
        <v>#DIV/0!</v>
      </c>
      <c r="H57" s="15" t="e">
        <f t="shared" si="59"/>
        <v>#DIV/0!</v>
      </c>
      <c r="I57" s="15" t="e">
        <f t="shared" si="59"/>
        <v>#DIV/0!</v>
      </c>
      <c r="J57" s="15" t="e">
        <f t="shared" si="59"/>
        <v>#DIV/0!</v>
      </c>
      <c r="K57" s="16" t="e">
        <f>(K55/K56)-1</f>
        <v>#DIV/0!</v>
      </c>
      <c r="L57" s="15" t="e">
        <f t="shared" ref="L57:O57" si="60">(L55/L56)-1</f>
        <v>#DIV/0!</v>
      </c>
      <c r="M57" s="15" t="e">
        <f t="shared" si="60"/>
        <v>#DIV/0!</v>
      </c>
      <c r="N57" s="15" t="e">
        <f t="shared" si="60"/>
        <v>#DIV/0!</v>
      </c>
      <c r="O57" s="15" t="e">
        <f t="shared" si="60"/>
        <v>#DIV/0!</v>
      </c>
    </row>
    <row r="58" spans="1:16" x14ac:dyDescent="0.25">
      <c r="B58" s="465"/>
      <c r="C58" s="23" t="s">
        <v>94</v>
      </c>
      <c r="D58" s="27" t="e">
        <f>(D59/D60)-1</f>
        <v>#DIV/0!</v>
      </c>
      <c r="E58" s="27" t="e">
        <f t="shared" ref="E58:I58" si="61">(E59/E60)-1</f>
        <v>#DIV/0!</v>
      </c>
      <c r="F58" s="27" t="e">
        <f t="shared" si="61"/>
        <v>#DIV/0!</v>
      </c>
      <c r="G58" s="27" t="e">
        <f t="shared" si="61"/>
        <v>#DIV/0!</v>
      </c>
      <c r="H58" s="27" t="e">
        <f t="shared" si="61"/>
        <v>#DIV/0!</v>
      </c>
      <c r="I58" s="27" t="e">
        <f t="shared" si="61"/>
        <v>#DIV/0!</v>
      </c>
      <c r="J58" s="27" t="e">
        <f t="shared" ref="J58" si="62">(J59/J60)-1</f>
        <v>#DIV/0!</v>
      </c>
      <c r="K58" s="28" t="e">
        <f>(K59/K60)-1</f>
        <v>#DIV/0!</v>
      </c>
      <c r="L58" s="27" t="e">
        <f t="shared" ref="L58:O58" si="63">(L59/L60)-1</f>
        <v>#DIV/0!</v>
      </c>
      <c r="M58" s="27" t="e">
        <f t="shared" si="63"/>
        <v>#DIV/0!</v>
      </c>
      <c r="N58" s="27" t="e">
        <f t="shared" si="63"/>
        <v>#DIV/0!</v>
      </c>
      <c r="O58" s="27" t="e">
        <f t="shared" si="63"/>
        <v>#DIV/0!</v>
      </c>
    </row>
    <row r="59" spans="1:16" x14ac:dyDescent="0.25">
      <c r="B59" s="465"/>
      <c r="C59" s="14" t="s">
        <v>95</v>
      </c>
      <c r="D59" s="9">
        <f>D55</f>
        <v>168311.08000000002</v>
      </c>
      <c r="E59" s="9">
        <f t="shared" ref="E59:J59" si="64">D59+E55</f>
        <v>335191.17000000004</v>
      </c>
      <c r="F59" s="9">
        <f t="shared" si="64"/>
        <v>499637.27</v>
      </c>
      <c r="G59" s="9">
        <f t="shared" si="64"/>
        <v>674708.26</v>
      </c>
      <c r="H59" s="9">
        <f t="shared" si="64"/>
        <v>876621.41</v>
      </c>
      <c r="I59" s="9">
        <f t="shared" si="64"/>
        <v>1074629.1400000001</v>
      </c>
      <c r="J59" s="9">
        <f t="shared" si="64"/>
        <v>1260778.79</v>
      </c>
      <c r="K59" s="9">
        <f t="shared" ref="K59" si="65">J59+K55</f>
        <v>1450275.71</v>
      </c>
      <c r="L59" s="9">
        <f t="shared" ref="L59" si="66">K59+L55</f>
        <v>1702200.38</v>
      </c>
      <c r="M59" s="9">
        <f t="shared" ref="M59" si="67">L59+M55</f>
        <v>1893547.0499999998</v>
      </c>
      <c r="N59" s="9">
        <f t="shared" ref="N59" si="68">M59+N55</f>
        <v>2077805.7799999998</v>
      </c>
      <c r="O59" s="9">
        <f t="shared" ref="O59" si="69">N59+O55</f>
        <v>2255156.9099999997</v>
      </c>
    </row>
    <row r="60" spans="1:16" ht="15.75" thickBot="1" x14ac:dyDescent="0.3">
      <c r="B60" s="466"/>
      <c r="C60" s="44" t="s">
        <v>70</v>
      </c>
      <c r="D60" s="25">
        <f>D56</f>
        <v>0</v>
      </c>
      <c r="E60" s="25">
        <f>+D60+E56</f>
        <v>0</v>
      </c>
      <c r="F60" s="25">
        <f t="shared" ref="F60:O60" si="70">+E60+F56</f>
        <v>0</v>
      </c>
      <c r="G60" s="25">
        <f t="shared" si="70"/>
        <v>0</v>
      </c>
      <c r="H60" s="25">
        <f t="shared" si="70"/>
        <v>0</v>
      </c>
      <c r="I60" s="25">
        <f t="shared" si="70"/>
        <v>0</v>
      </c>
      <c r="J60" s="25">
        <f t="shared" si="70"/>
        <v>0</v>
      </c>
      <c r="K60" s="25">
        <f t="shared" si="70"/>
        <v>0</v>
      </c>
      <c r="L60" s="25">
        <f t="shared" si="70"/>
        <v>0</v>
      </c>
      <c r="M60" s="25">
        <f t="shared" si="70"/>
        <v>0</v>
      </c>
      <c r="N60" s="25">
        <f t="shared" si="70"/>
        <v>0</v>
      </c>
      <c r="O60" s="25">
        <f t="shared" si="70"/>
        <v>0</v>
      </c>
    </row>
    <row r="61" spans="1:16" ht="15" customHeight="1" x14ac:dyDescent="0.25">
      <c r="A61" s="454" t="s">
        <v>22</v>
      </c>
      <c r="B61" s="473" t="s">
        <v>85</v>
      </c>
      <c r="C61" s="386" t="s">
        <v>92</v>
      </c>
      <c r="D61" s="153">
        <f>+PIGOO!B96+PIGOO!B97</f>
        <v>13950.57</v>
      </c>
      <c r="E61" s="153">
        <f>+PIGOO!C96+PIGOO!C97</f>
        <v>46834.43</v>
      </c>
      <c r="F61" s="153">
        <f>+PIGOO!D96+PIGOO!D97</f>
        <v>15999.070000000002</v>
      </c>
      <c r="G61" s="153">
        <f>+PIGOO!E96+PIGOO!E97</f>
        <v>25957.149999999998</v>
      </c>
      <c r="H61" s="153">
        <f>+PIGOO!F96+PIGOO!F97</f>
        <v>25483.559999999998</v>
      </c>
      <c r="I61" s="153">
        <f>+PIGOO!G96+PIGOO!G97</f>
        <v>25148.68</v>
      </c>
      <c r="J61" s="153">
        <f>+PIGOO!H96+PIGOO!H97</f>
        <v>21627.469999999998</v>
      </c>
      <c r="K61" s="153">
        <f>+PIGOO!I96+PIGOO!I97</f>
        <v>26050.38</v>
      </c>
      <c r="L61" s="153">
        <f>+PIGOO!J96+PIGOO!J97</f>
        <v>17836.949999999997</v>
      </c>
      <c r="M61" s="153">
        <f>+PIGOO!K96+PIGOO!K97</f>
        <v>23387.51</v>
      </c>
      <c r="N61" s="153">
        <f>+PIGOO!L96+PIGOO!L97</f>
        <v>35132.240000000005</v>
      </c>
      <c r="O61" s="153">
        <f>+PIGOO!M96+PIGOO!M97</f>
        <v>26728.400000000001</v>
      </c>
      <c r="P61" s="381">
        <v>6</v>
      </c>
    </row>
    <row r="62" spans="1:16" ht="15.75" thickBot="1" x14ac:dyDescent="0.3">
      <c r="A62" s="455"/>
      <c r="B62" s="465"/>
      <c r="C62" s="175" t="s">
        <v>69</v>
      </c>
      <c r="D62" s="41"/>
      <c r="E62" s="42"/>
      <c r="F62" s="42"/>
      <c r="G62" s="42"/>
      <c r="H62" s="42"/>
      <c r="I62" s="42"/>
      <c r="J62" s="42"/>
      <c r="K62" s="43"/>
      <c r="L62" s="42"/>
      <c r="M62" s="42"/>
      <c r="N62" s="42"/>
      <c r="O62" s="42"/>
    </row>
    <row r="63" spans="1:16" x14ac:dyDescent="0.25">
      <c r="B63" s="465"/>
      <c r="C63" s="14" t="s">
        <v>93</v>
      </c>
      <c r="D63" s="15" t="e">
        <f>(D61/D62)-1</f>
        <v>#DIV/0!</v>
      </c>
      <c r="E63" s="15" t="e">
        <f t="shared" ref="E63:J63" si="71">(E61/E62)-1</f>
        <v>#DIV/0!</v>
      </c>
      <c r="F63" s="15" t="e">
        <f t="shared" si="71"/>
        <v>#DIV/0!</v>
      </c>
      <c r="G63" s="15" t="e">
        <f t="shared" si="71"/>
        <v>#DIV/0!</v>
      </c>
      <c r="H63" s="15" t="e">
        <f t="shared" si="71"/>
        <v>#DIV/0!</v>
      </c>
      <c r="I63" s="15" t="e">
        <f t="shared" si="71"/>
        <v>#DIV/0!</v>
      </c>
      <c r="J63" s="15" t="e">
        <f t="shared" si="71"/>
        <v>#DIV/0!</v>
      </c>
      <c r="K63" s="16" t="e">
        <f>(K61/K62)-1</f>
        <v>#DIV/0!</v>
      </c>
      <c r="L63" s="15" t="e">
        <f t="shared" ref="L63:O63" si="72">(L61/L62)-1</f>
        <v>#DIV/0!</v>
      </c>
      <c r="M63" s="15" t="e">
        <f t="shared" si="72"/>
        <v>#DIV/0!</v>
      </c>
      <c r="N63" s="15" t="e">
        <f t="shared" si="72"/>
        <v>#DIV/0!</v>
      </c>
      <c r="O63" s="15" t="e">
        <f t="shared" si="72"/>
        <v>#DIV/0!</v>
      </c>
    </row>
    <row r="64" spans="1:16" x14ac:dyDescent="0.25">
      <c r="B64" s="465"/>
      <c r="C64" s="23" t="s">
        <v>94</v>
      </c>
      <c r="D64" s="27" t="e">
        <f>(D65/D66)-1</f>
        <v>#DIV/0!</v>
      </c>
      <c r="E64" s="27" t="e">
        <f t="shared" ref="E64:J64" si="73">(E65/E66)-1</f>
        <v>#DIV/0!</v>
      </c>
      <c r="F64" s="27" t="e">
        <f t="shared" si="73"/>
        <v>#DIV/0!</v>
      </c>
      <c r="G64" s="27" t="e">
        <f t="shared" si="73"/>
        <v>#DIV/0!</v>
      </c>
      <c r="H64" s="27" t="e">
        <f t="shared" si="73"/>
        <v>#DIV/0!</v>
      </c>
      <c r="I64" s="27" t="e">
        <f t="shared" si="73"/>
        <v>#DIV/0!</v>
      </c>
      <c r="J64" s="27" t="e">
        <f t="shared" si="73"/>
        <v>#DIV/0!</v>
      </c>
      <c r="K64" s="28" t="e">
        <f>(K65/K66)-1</f>
        <v>#DIV/0!</v>
      </c>
      <c r="L64" s="27" t="e">
        <f t="shared" ref="L64:O64" si="74">(L65/L66)-1</f>
        <v>#DIV/0!</v>
      </c>
      <c r="M64" s="27" t="e">
        <f t="shared" si="74"/>
        <v>#DIV/0!</v>
      </c>
      <c r="N64" s="27" t="e">
        <f t="shared" si="74"/>
        <v>#DIV/0!</v>
      </c>
      <c r="O64" s="27" t="e">
        <f t="shared" si="74"/>
        <v>#DIV/0!</v>
      </c>
    </row>
    <row r="65" spans="1:16" x14ac:dyDescent="0.25">
      <c r="B65" s="465"/>
      <c r="C65" s="14" t="s">
        <v>95</v>
      </c>
      <c r="D65" s="9">
        <f>D61</f>
        <v>13950.57</v>
      </c>
      <c r="E65" s="9">
        <f t="shared" ref="E65:J66" si="75">D65+E61</f>
        <v>60785</v>
      </c>
      <c r="F65" s="9">
        <f t="shared" si="75"/>
        <v>76784.070000000007</v>
      </c>
      <c r="G65" s="9">
        <f t="shared" si="75"/>
        <v>102741.22</v>
      </c>
      <c r="H65" s="9">
        <f t="shared" si="75"/>
        <v>128224.78</v>
      </c>
      <c r="I65" s="9">
        <f t="shared" si="75"/>
        <v>153373.46</v>
      </c>
      <c r="J65" s="9">
        <f t="shared" si="75"/>
        <v>175000.93</v>
      </c>
      <c r="K65" s="9">
        <f t="shared" ref="K65:K66" si="76">J65+K61</f>
        <v>201051.31</v>
      </c>
      <c r="L65" s="9">
        <f t="shared" ref="L65:L66" si="77">K65+L61</f>
        <v>218888.26</v>
      </c>
      <c r="M65" s="9">
        <f t="shared" ref="M65:M66" si="78">L65+M61</f>
        <v>242275.77000000002</v>
      </c>
      <c r="N65" s="9">
        <f t="shared" ref="N65:N66" si="79">M65+N61</f>
        <v>277408.01</v>
      </c>
      <c r="O65" s="9">
        <f t="shared" ref="O65:O66" si="80">N65+O61</f>
        <v>304136.41000000003</v>
      </c>
    </row>
    <row r="66" spans="1:16" ht="15.75" thickBot="1" x14ac:dyDescent="0.3">
      <c r="B66" s="466"/>
      <c r="C66" s="44" t="s">
        <v>70</v>
      </c>
      <c r="D66" s="25">
        <f>D62</f>
        <v>0</v>
      </c>
      <c r="E66" s="25">
        <f t="shared" si="75"/>
        <v>0</v>
      </c>
      <c r="F66" s="25">
        <f t="shared" si="75"/>
        <v>0</v>
      </c>
      <c r="G66" s="25">
        <f t="shared" si="75"/>
        <v>0</v>
      </c>
      <c r="H66" s="25">
        <f t="shared" si="75"/>
        <v>0</v>
      </c>
      <c r="I66" s="25">
        <f t="shared" si="75"/>
        <v>0</v>
      </c>
      <c r="J66" s="25">
        <f t="shared" si="75"/>
        <v>0</v>
      </c>
      <c r="K66" s="25">
        <f t="shared" si="76"/>
        <v>0</v>
      </c>
      <c r="L66" s="25">
        <f t="shared" si="77"/>
        <v>0</v>
      </c>
      <c r="M66" s="25">
        <f t="shared" si="78"/>
        <v>0</v>
      </c>
      <c r="N66" s="25">
        <f t="shared" si="79"/>
        <v>0</v>
      </c>
      <c r="O66" s="25">
        <f t="shared" si="80"/>
        <v>0</v>
      </c>
    </row>
    <row r="67" spans="1:16" ht="15" customHeight="1" x14ac:dyDescent="0.25">
      <c r="A67" s="454" t="s">
        <v>22</v>
      </c>
      <c r="B67" s="438" t="s">
        <v>111</v>
      </c>
      <c r="C67" s="176" t="s">
        <v>92</v>
      </c>
      <c r="D67" s="153">
        <v>45570360.369999997</v>
      </c>
      <c r="E67" s="154">
        <v>41263577.650000006</v>
      </c>
      <c r="F67" s="21">
        <v>45546234.059999995</v>
      </c>
      <c r="G67" s="46">
        <v>45208601.269999996</v>
      </c>
      <c r="H67" s="21">
        <v>47428160.229999997</v>
      </c>
      <c r="I67" s="21">
        <v>53389408.939999998</v>
      </c>
      <c r="J67" s="21">
        <v>57222557.080000006</v>
      </c>
      <c r="K67" s="40">
        <v>57210397.049999997</v>
      </c>
      <c r="L67" s="21">
        <v>53383352.030000001</v>
      </c>
      <c r="M67" s="21">
        <v>55590974.630000003</v>
      </c>
      <c r="N67" s="21">
        <v>51680991.960000001</v>
      </c>
      <c r="O67" s="21">
        <v>54131094.290000007</v>
      </c>
    </row>
    <row r="68" spans="1:16" ht="15.75" thickBot="1" x14ac:dyDescent="0.3">
      <c r="A68" s="455"/>
      <c r="B68" s="439"/>
      <c r="C68" s="177" t="s">
        <v>69</v>
      </c>
      <c r="D68" s="157"/>
      <c r="E68" s="158"/>
      <c r="F68" s="31"/>
      <c r="G68" s="31"/>
      <c r="H68" s="31"/>
      <c r="I68" s="31"/>
      <c r="J68" s="31"/>
      <c r="K68" s="48"/>
      <c r="L68" s="31"/>
      <c r="M68" s="31"/>
      <c r="N68" s="31"/>
      <c r="O68" s="31"/>
    </row>
    <row r="69" spans="1:16" x14ac:dyDescent="0.25">
      <c r="B69" s="439"/>
      <c r="C69" s="45" t="s">
        <v>93</v>
      </c>
      <c r="D69" s="49" t="e">
        <f>(D67/D68)-1</f>
        <v>#DIV/0!</v>
      </c>
      <c r="E69" s="15" t="e">
        <f t="shared" ref="E69:O69" si="81">(E67/E68)-1</f>
        <v>#DIV/0!</v>
      </c>
      <c r="F69" s="15" t="e">
        <f t="shared" si="81"/>
        <v>#DIV/0!</v>
      </c>
      <c r="G69" s="15" t="e">
        <f t="shared" si="81"/>
        <v>#DIV/0!</v>
      </c>
      <c r="H69" s="15" t="e">
        <f t="shared" si="81"/>
        <v>#DIV/0!</v>
      </c>
      <c r="I69" s="15" t="e">
        <f t="shared" si="81"/>
        <v>#DIV/0!</v>
      </c>
      <c r="J69" s="15" t="e">
        <f t="shared" si="81"/>
        <v>#DIV/0!</v>
      </c>
      <c r="K69" s="16" t="e">
        <f>(K67/K68)-1</f>
        <v>#DIV/0!</v>
      </c>
      <c r="L69" s="15" t="e">
        <f t="shared" si="81"/>
        <v>#DIV/0!</v>
      </c>
      <c r="M69" s="15" t="e">
        <f t="shared" si="81"/>
        <v>#DIV/0!</v>
      </c>
      <c r="N69" s="15" t="e">
        <f t="shared" si="81"/>
        <v>#DIV/0!</v>
      </c>
      <c r="O69" s="15" t="e">
        <f t="shared" si="81"/>
        <v>#DIV/0!</v>
      </c>
    </row>
    <row r="70" spans="1:16" x14ac:dyDescent="0.25">
      <c r="B70" s="439"/>
      <c r="C70" s="47" t="s">
        <v>94</v>
      </c>
      <c r="D70" s="50" t="e">
        <f>(D71/D72)-1</f>
        <v>#DIV/0!</v>
      </c>
      <c r="E70" s="32" t="e">
        <f t="shared" ref="E70:O70" si="82">(E71/E72)-1</f>
        <v>#DIV/0!</v>
      </c>
      <c r="F70" s="32" t="e">
        <f t="shared" si="82"/>
        <v>#DIV/0!</v>
      </c>
      <c r="G70" s="32" t="e">
        <f t="shared" si="82"/>
        <v>#DIV/0!</v>
      </c>
      <c r="H70" s="32" t="e">
        <f t="shared" si="82"/>
        <v>#DIV/0!</v>
      </c>
      <c r="I70" s="32" t="e">
        <f t="shared" si="82"/>
        <v>#DIV/0!</v>
      </c>
      <c r="J70" s="32" t="e">
        <f t="shared" si="82"/>
        <v>#DIV/0!</v>
      </c>
      <c r="K70" s="33" t="e">
        <f>(K71/K72)-1</f>
        <v>#DIV/0!</v>
      </c>
      <c r="L70" s="32" t="e">
        <f t="shared" si="82"/>
        <v>#DIV/0!</v>
      </c>
      <c r="M70" s="32" t="e">
        <f t="shared" si="82"/>
        <v>#DIV/0!</v>
      </c>
      <c r="N70" s="32" t="e">
        <f t="shared" si="82"/>
        <v>#DIV/0!</v>
      </c>
      <c r="O70" s="32" t="e">
        <f t="shared" si="82"/>
        <v>#DIV/0!</v>
      </c>
    </row>
    <row r="71" spans="1:16" x14ac:dyDescent="0.25">
      <c r="B71" s="439"/>
      <c r="C71" s="45" t="s">
        <v>95</v>
      </c>
      <c r="D71" s="8">
        <f>D67</f>
        <v>45570360.369999997</v>
      </c>
      <c r="E71" s="9">
        <f t="shared" ref="E71:J72" si="83">D71+E67</f>
        <v>86833938.020000011</v>
      </c>
      <c r="F71" s="9">
        <f t="shared" si="83"/>
        <v>132380172.08000001</v>
      </c>
      <c r="G71" s="9">
        <f t="shared" si="83"/>
        <v>177588773.35000002</v>
      </c>
      <c r="H71" s="9">
        <f t="shared" si="83"/>
        <v>225016933.58000001</v>
      </c>
      <c r="I71" s="9">
        <f t="shared" si="83"/>
        <v>278406342.51999998</v>
      </c>
      <c r="J71" s="9">
        <f t="shared" si="83"/>
        <v>335628899.59999996</v>
      </c>
      <c r="K71" s="9">
        <f t="shared" ref="K71:K72" si="84">J71+K67</f>
        <v>392839296.64999998</v>
      </c>
      <c r="L71" s="9">
        <f t="shared" ref="L71:L72" si="85">K71+L67</f>
        <v>446222648.67999995</v>
      </c>
      <c r="M71" s="9">
        <f t="shared" ref="M71:M72" si="86">L71+M67</f>
        <v>501813623.30999994</v>
      </c>
      <c r="N71" s="9">
        <f t="shared" ref="N71:N72" si="87">M71+N67</f>
        <v>553494615.26999998</v>
      </c>
      <c r="O71" s="9">
        <f t="shared" ref="O71:O72" si="88">N71+O67</f>
        <v>607625709.55999994</v>
      </c>
    </row>
    <row r="72" spans="1:16" ht="15.75" thickBot="1" x14ac:dyDescent="0.3">
      <c r="B72" s="456"/>
      <c r="C72" s="51" t="s">
        <v>70</v>
      </c>
      <c r="D72" s="30">
        <f>D68</f>
        <v>0</v>
      </c>
      <c r="E72" s="31">
        <f t="shared" si="83"/>
        <v>0</v>
      </c>
      <c r="F72" s="31">
        <f t="shared" si="83"/>
        <v>0</v>
      </c>
      <c r="G72" s="31">
        <f t="shared" si="83"/>
        <v>0</v>
      </c>
      <c r="H72" s="31">
        <f t="shared" si="83"/>
        <v>0</v>
      </c>
      <c r="I72" s="31">
        <f t="shared" si="83"/>
        <v>0</v>
      </c>
      <c r="J72" s="31">
        <f t="shared" si="83"/>
        <v>0</v>
      </c>
      <c r="K72" s="31">
        <f t="shared" si="84"/>
        <v>0</v>
      </c>
      <c r="L72" s="31">
        <f t="shared" si="85"/>
        <v>0</v>
      </c>
      <c r="M72" s="31">
        <f t="shared" si="86"/>
        <v>0</v>
      </c>
      <c r="N72" s="31">
        <f t="shared" si="87"/>
        <v>0</v>
      </c>
      <c r="O72" s="31">
        <f t="shared" si="88"/>
        <v>0</v>
      </c>
    </row>
    <row r="73" spans="1:16" x14ac:dyDescent="0.25">
      <c r="B73" s="438" t="s">
        <v>112</v>
      </c>
      <c r="C73" s="176" t="s">
        <v>92</v>
      </c>
      <c r="D73" s="153">
        <v>31932233.129999999</v>
      </c>
      <c r="E73" s="154">
        <v>27498808.639999993</v>
      </c>
      <c r="F73" s="21">
        <v>29799991.24000001</v>
      </c>
      <c r="G73" s="46">
        <v>32560305.339999996</v>
      </c>
      <c r="H73" s="21">
        <v>35271814.850000009</v>
      </c>
      <c r="I73" s="21">
        <v>30882590.639999997</v>
      </c>
      <c r="J73" s="21">
        <v>34294777.379999995</v>
      </c>
      <c r="K73" s="40">
        <v>31575446.299999997</v>
      </c>
      <c r="L73" s="21">
        <v>33540442.820000008</v>
      </c>
      <c r="M73" s="21">
        <v>35029380.350000001</v>
      </c>
      <c r="N73" s="21">
        <v>32226353.99000001</v>
      </c>
      <c r="O73" s="21">
        <v>31957520.409999989</v>
      </c>
    </row>
    <row r="74" spans="1:16" x14ac:dyDescent="0.25">
      <c r="B74" s="439"/>
      <c r="C74" s="177" t="s">
        <v>69</v>
      </c>
      <c r="D74" s="157"/>
      <c r="E74" s="158"/>
      <c r="F74" s="31"/>
      <c r="G74" s="31"/>
      <c r="H74" s="31"/>
      <c r="I74" s="31"/>
      <c r="J74" s="31"/>
      <c r="K74" s="48"/>
      <c r="L74" s="31"/>
      <c r="M74" s="31"/>
      <c r="N74" s="31"/>
      <c r="O74" s="31"/>
    </row>
    <row r="75" spans="1:16" x14ac:dyDescent="0.25">
      <c r="B75" s="439"/>
      <c r="C75" s="45" t="s">
        <v>93</v>
      </c>
      <c r="D75" s="49" t="e">
        <f>(D73/D74)-1</f>
        <v>#DIV/0!</v>
      </c>
      <c r="E75" s="15" t="e">
        <f t="shared" ref="E75:J75" si="89">(E73/E74)-1</f>
        <v>#DIV/0!</v>
      </c>
      <c r="F75" s="15" t="e">
        <f t="shared" si="89"/>
        <v>#DIV/0!</v>
      </c>
      <c r="G75" s="15" t="e">
        <f t="shared" si="89"/>
        <v>#DIV/0!</v>
      </c>
      <c r="H75" s="15" t="e">
        <f t="shared" si="89"/>
        <v>#DIV/0!</v>
      </c>
      <c r="I75" s="15" t="e">
        <f t="shared" si="89"/>
        <v>#DIV/0!</v>
      </c>
      <c r="J75" s="15" t="e">
        <f t="shared" si="89"/>
        <v>#DIV/0!</v>
      </c>
      <c r="K75" s="16" t="e">
        <f>(K73/K74)-1</f>
        <v>#DIV/0!</v>
      </c>
      <c r="L75" s="15" t="e">
        <f t="shared" ref="L75:O75" si="90">(L73/L74)-1</f>
        <v>#DIV/0!</v>
      </c>
      <c r="M75" s="15" t="e">
        <f t="shared" si="90"/>
        <v>#DIV/0!</v>
      </c>
      <c r="N75" s="15" t="e">
        <f t="shared" si="90"/>
        <v>#DIV/0!</v>
      </c>
      <c r="O75" s="15" t="e">
        <f t="shared" si="90"/>
        <v>#DIV/0!</v>
      </c>
    </row>
    <row r="76" spans="1:16" x14ac:dyDescent="0.25">
      <c r="B76" s="439"/>
      <c r="C76" s="47" t="s">
        <v>94</v>
      </c>
      <c r="D76" s="50" t="e">
        <f>(D77/D78)-1</f>
        <v>#DIV/0!</v>
      </c>
      <c r="E76" s="32" t="e">
        <f t="shared" ref="E76:J76" si="91">(E77/E78)-1</f>
        <v>#DIV/0!</v>
      </c>
      <c r="F76" s="32" t="e">
        <f t="shared" si="91"/>
        <v>#DIV/0!</v>
      </c>
      <c r="G76" s="32" t="e">
        <f t="shared" si="91"/>
        <v>#DIV/0!</v>
      </c>
      <c r="H76" s="32" t="e">
        <f t="shared" si="91"/>
        <v>#DIV/0!</v>
      </c>
      <c r="I76" s="32" t="e">
        <f t="shared" si="91"/>
        <v>#DIV/0!</v>
      </c>
      <c r="J76" s="32" t="e">
        <f t="shared" si="91"/>
        <v>#DIV/0!</v>
      </c>
      <c r="K76" s="33" t="e">
        <f>(K77/K78)-1</f>
        <v>#DIV/0!</v>
      </c>
      <c r="L76" s="32" t="e">
        <f t="shared" ref="L76:O76" si="92">(L77/L78)-1</f>
        <v>#DIV/0!</v>
      </c>
      <c r="M76" s="32" t="e">
        <f t="shared" si="92"/>
        <v>#DIV/0!</v>
      </c>
      <c r="N76" s="32" t="e">
        <f t="shared" si="92"/>
        <v>#DIV/0!</v>
      </c>
      <c r="O76" s="32" t="e">
        <f t="shared" si="92"/>
        <v>#DIV/0!</v>
      </c>
    </row>
    <row r="77" spans="1:16" x14ac:dyDescent="0.25">
      <c r="B77" s="439"/>
      <c r="C77" s="45" t="s">
        <v>95</v>
      </c>
      <c r="D77" s="8">
        <f>D73</f>
        <v>31932233.129999999</v>
      </c>
      <c r="E77" s="9">
        <f t="shared" ref="E77:E78" si="93">D77+E73</f>
        <v>59431041.769999996</v>
      </c>
      <c r="F77" s="9">
        <f t="shared" ref="F77:F78" si="94">E77+F73</f>
        <v>89231033.010000005</v>
      </c>
      <c r="G77" s="9">
        <f t="shared" ref="G77:G78" si="95">F77+G73</f>
        <v>121791338.34999999</v>
      </c>
      <c r="H77" s="9">
        <f t="shared" ref="H77:H78" si="96">G77+H73</f>
        <v>157063153.19999999</v>
      </c>
      <c r="I77" s="9">
        <f t="shared" ref="I77:I78" si="97">H77+I73</f>
        <v>187945743.83999997</v>
      </c>
      <c r="J77" s="9">
        <f t="shared" ref="J77:J78" si="98">I77+J73</f>
        <v>222240521.21999997</v>
      </c>
      <c r="K77" s="9">
        <f t="shared" ref="K77:K78" si="99">J77+K73</f>
        <v>253815967.51999998</v>
      </c>
      <c r="L77" s="9">
        <f t="shared" ref="L77:L78" si="100">K77+L73</f>
        <v>287356410.33999997</v>
      </c>
      <c r="M77" s="9">
        <f t="shared" ref="M77:M78" si="101">L77+M73</f>
        <v>322385790.69</v>
      </c>
      <c r="N77" s="9">
        <f t="shared" ref="N77:N78" si="102">M77+N73</f>
        <v>354612144.68000001</v>
      </c>
      <c r="O77" s="9">
        <f t="shared" ref="O77:O78" si="103">N77+O73</f>
        <v>386569665.08999997</v>
      </c>
    </row>
    <row r="78" spans="1:16" ht="15.75" thickBot="1" x14ac:dyDescent="0.3">
      <c r="B78" s="456"/>
      <c r="C78" s="51" t="s">
        <v>70</v>
      </c>
      <c r="D78" s="30">
        <f>D74</f>
        <v>0</v>
      </c>
      <c r="E78" s="31">
        <f t="shared" si="93"/>
        <v>0</v>
      </c>
      <c r="F78" s="31">
        <f t="shared" si="94"/>
        <v>0</v>
      </c>
      <c r="G78" s="31">
        <f t="shared" si="95"/>
        <v>0</v>
      </c>
      <c r="H78" s="31">
        <f t="shared" si="96"/>
        <v>0</v>
      </c>
      <c r="I78" s="31">
        <f t="shared" si="97"/>
        <v>0</v>
      </c>
      <c r="J78" s="31">
        <f t="shared" si="98"/>
        <v>0</v>
      </c>
      <c r="K78" s="31">
        <f t="shared" si="99"/>
        <v>0</v>
      </c>
      <c r="L78" s="31">
        <f t="shared" si="100"/>
        <v>0</v>
      </c>
      <c r="M78" s="31">
        <f t="shared" si="101"/>
        <v>0</v>
      </c>
      <c r="N78" s="31">
        <f t="shared" si="102"/>
        <v>0</v>
      </c>
      <c r="O78" s="31">
        <f t="shared" si="103"/>
        <v>0</v>
      </c>
    </row>
    <row r="79" spans="1:16" x14ac:dyDescent="0.25">
      <c r="A79" s="454" t="s">
        <v>22</v>
      </c>
      <c r="B79" s="438" t="s">
        <v>23</v>
      </c>
      <c r="C79" s="54" t="s">
        <v>92</v>
      </c>
      <c r="D79" s="153">
        <f>+PIGOO!B103+PIGOO!B104</f>
        <v>13482.26</v>
      </c>
      <c r="E79" s="153">
        <f>+PIGOO!C103+PIGOO!C104</f>
        <v>275.43</v>
      </c>
      <c r="F79" s="153">
        <f>+PIGOO!D103+PIGOO!D104</f>
        <v>57372.08</v>
      </c>
      <c r="G79" s="153">
        <f>+PIGOO!E103+PIGOO!E104</f>
        <v>22544.87</v>
      </c>
      <c r="H79" s="153">
        <f>+PIGOO!F103+PIGOO!F104</f>
        <v>0</v>
      </c>
      <c r="I79" s="153">
        <f>+PIGOO!G103+PIGOO!G104</f>
        <v>24068</v>
      </c>
      <c r="J79" s="153">
        <f>+PIGOO!H103+PIGOO!H104</f>
        <v>20194.12</v>
      </c>
      <c r="K79" s="153">
        <f>+PIGOO!I103+PIGOO!I104</f>
        <v>24608.48</v>
      </c>
      <c r="L79" s="153">
        <f>+PIGOO!J103+PIGOO!J104</f>
        <v>0</v>
      </c>
      <c r="M79" s="153">
        <f>+PIGOO!K103+PIGOO!K104</f>
        <v>38314.61</v>
      </c>
      <c r="N79" s="153">
        <f>+PIGOO!L103+PIGOO!L104</f>
        <v>0</v>
      </c>
      <c r="O79" s="153">
        <f>+PIGOO!M103+PIGOO!M104</f>
        <v>33915.79</v>
      </c>
      <c r="P79" s="381">
        <v>7</v>
      </c>
    </row>
    <row r="80" spans="1:16" ht="15.75" thickBot="1" x14ac:dyDescent="0.3">
      <c r="A80" s="455"/>
      <c r="B80" s="439"/>
      <c r="C80" s="177" t="s">
        <v>69</v>
      </c>
      <c r="D80" s="157"/>
      <c r="E80" s="158"/>
      <c r="F80" s="31"/>
      <c r="G80" s="31"/>
      <c r="H80" s="31"/>
      <c r="I80" s="31"/>
      <c r="J80" s="31"/>
      <c r="K80" s="48"/>
      <c r="L80" s="31"/>
      <c r="M80" s="31"/>
      <c r="N80" s="31"/>
      <c r="O80" s="31"/>
    </row>
    <row r="81" spans="1:15" x14ac:dyDescent="0.25">
      <c r="B81" s="439"/>
      <c r="C81" s="45" t="s">
        <v>93</v>
      </c>
      <c r="D81" s="49" t="e">
        <f>(D79/D80)-1</f>
        <v>#DIV/0!</v>
      </c>
      <c r="E81" s="15" t="e">
        <f t="shared" ref="E81:J81" si="104">(E79/E80)-1</f>
        <v>#DIV/0!</v>
      </c>
      <c r="F81" s="15" t="e">
        <f t="shared" si="104"/>
        <v>#DIV/0!</v>
      </c>
      <c r="G81" s="15" t="e">
        <f t="shared" si="104"/>
        <v>#DIV/0!</v>
      </c>
      <c r="H81" s="15" t="e">
        <f t="shared" si="104"/>
        <v>#DIV/0!</v>
      </c>
      <c r="I81" s="15" t="e">
        <f t="shared" si="104"/>
        <v>#DIV/0!</v>
      </c>
      <c r="J81" s="15" t="e">
        <f t="shared" si="104"/>
        <v>#DIV/0!</v>
      </c>
      <c r="K81" s="16" t="e">
        <f>(K79/K80)-1</f>
        <v>#DIV/0!</v>
      </c>
      <c r="L81" s="15" t="e">
        <f t="shared" ref="L81:O81" si="105">(L79/L80)-1</f>
        <v>#DIV/0!</v>
      </c>
      <c r="M81" s="15" t="e">
        <f t="shared" si="105"/>
        <v>#DIV/0!</v>
      </c>
      <c r="N81" s="15" t="e">
        <f t="shared" si="105"/>
        <v>#DIV/0!</v>
      </c>
      <c r="O81" s="15" t="e">
        <f t="shared" si="105"/>
        <v>#DIV/0!</v>
      </c>
    </row>
    <row r="82" spans="1:15" x14ac:dyDescent="0.25">
      <c r="B82" s="439"/>
      <c r="C82" s="47" t="s">
        <v>94</v>
      </c>
      <c r="D82" s="50" t="e">
        <f>(D83/D84)-1</f>
        <v>#DIV/0!</v>
      </c>
      <c r="E82" s="32" t="e">
        <f t="shared" ref="E82:J82" si="106">(E83/E84)-1</f>
        <v>#DIV/0!</v>
      </c>
      <c r="F82" s="32" t="e">
        <f t="shared" si="106"/>
        <v>#DIV/0!</v>
      </c>
      <c r="G82" s="32" t="e">
        <f t="shared" si="106"/>
        <v>#DIV/0!</v>
      </c>
      <c r="H82" s="32" t="e">
        <f t="shared" si="106"/>
        <v>#DIV/0!</v>
      </c>
      <c r="I82" s="32" t="e">
        <f t="shared" si="106"/>
        <v>#DIV/0!</v>
      </c>
      <c r="J82" s="32" t="e">
        <f t="shared" si="106"/>
        <v>#DIV/0!</v>
      </c>
      <c r="K82" s="33" t="e">
        <f>(K83/K84)-1</f>
        <v>#DIV/0!</v>
      </c>
      <c r="L82" s="32" t="e">
        <f t="shared" ref="L82:O82" si="107">(L83/L84)-1</f>
        <v>#DIV/0!</v>
      </c>
      <c r="M82" s="32" t="e">
        <f t="shared" si="107"/>
        <v>#DIV/0!</v>
      </c>
      <c r="N82" s="32" t="e">
        <f t="shared" si="107"/>
        <v>#DIV/0!</v>
      </c>
      <c r="O82" s="32" t="e">
        <f t="shared" si="107"/>
        <v>#DIV/0!</v>
      </c>
    </row>
    <row r="83" spans="1:15" x14ac:dyDescent="0.25">
      <c r="B83" s="439"/>
      <c r="C83" s="45" t="s">
        <v>95</v>
      </c>
      <c r="D83" s="8">
        <f>D79</f>
        <v>13482.26</v>
      </c>
      <c r="E83" s="9">
        <f t="shared" ref="E83:J84" si="108">D83+E79</f>
        <v>13757.69</v>
      </c>
      <c r="F83" s="9">
        <f t="shared" si="108"/>
        <v>71129.77</v>
      </c>
      <c r="G83" s="9">
        <f t="shared" si="108"/>
        <v>93674.64</v>
      </c>
      <c r="H83" s="9">
        <f t="shared" si="108"/>
        <v>93674.64</v>
      </c>
      <c r="I83" s="9">
        <f t="shared" si="108"/>
        <v>117742.64</v>
      </c>
      <c r="J83" s="9">
        <f t="shared" si="108"/>
        <v>137936.76</v>
      </c>
      <c r="K83" s="9">
        <f t="shared" ref="K83:K84" si="109">J83+K79</f>
        <v>162545.24000000002</v>
      </c>
      <c r="L83" s="9">
        <f t="shared" ref="L83:L84" si="110">K83+L79</f>
        <v>162545.24000000002</v>
      </c>
      <c r="M83" s="9">
        <f t="shared" ref="M83:M84" si="111">L83+M79</f>
        <v>200859.85000000003</v>
      </c>
      <c r="N83" s="9">
        <f t="shared" ref="N83:N84" si="112">M83+N79</f>
        <v>200859.85000000003</v>
      </c>
      <c r="O83" s="9">
        <f t="shared" ref="O83:O84" si="113">N83+O79</f>
        <v>234775.64000000004</v>
      </c>
    </row>
    <row r="84" spans="1:15" ht="15.75" thickBot="1" x14ac:dyDescent="0.3">
      <c r="B84" s="456"/>
      <c r="C84" s="51" t="s">
        <v>70</v>
      </c>
      <c r="D84" s="30">
        <f>D80</f>
        <v>0</v>
      </c>
      <c r="E84" s="31">
        <f t="shared" si="108"/>
        <v>0</v>
      </c>
      <c r="F84" s="31">
        <f t="shared" si="108"/>
        <v>0</v>
      </c>
      <c r="G84" s="31">
        <f t="shared" si="108"/>
        <v>0</v>
      </c>
      <c r="H84" s="31">
        <f t="shared" si="108"/>
        <v>0</v>
      </c>
      <c r="I84" s="31">
        <f t="shared" si="108"/>
        <v>0</v>
      </c>
      <c r="J84" s="31">
        <f t="shared" si="108"/>
        <v>0</v>
      </c>
      <c r="K84" s="31">
        <f t="shared" si="109"/>
        <v>0</v>
      </c>
      <c r="L84" s="31">
        <f t="shared" si="110"/>
        <v>0</v>
      </c>
      <c r="M84" s="31">
        <f t="shared" si="111"/>
        <v>0</v>
      </c>
      <c r="N84" s="31">
        <f t="shared" si="112"/>
        <v>0</v>
      </c>
      <c r="O84" s="31">
        <f t="shared" si="113"/>
        <v>0</v>
      </c>
    </row>
    <row r="85" spans="1:15" x14ac:dyDescent="0.25">
      <c r="B85" s="457" t="s">
        <v>110</v>
      </c>
      <c r="C85" s="52" t="s">
        <v>21</v>
      </c>
      <c r="D85" s="53">
        <f t="shared" ref="D85:O85" si="114">(D67/D55)</f>
        <v>270.75080481926676</v>
      </c>
      <c r="E85" s="53">
        <f t="shared" si="114"/>
        <v>247.26483339025049</v>
      </c>
      <c r="F85" s="53">
        <f t="shared" si="114"/>
        <v>276.96755386719411</v>
      </c>
      <c r="G85" s="53">
        <f t="shared" si="114"/>
        <v>258.23011151076486</v>
      </c>
      <c r="H85" s="53">
        <f t="shared" si="114"/>
        <v>234.89386515935189</v>
      </c>
      <c r="I85" s="53">
        <f t="shared" si="114"/>
        <v>269.6329529155251</v>
      </c>
      <c r="J85" s="53">
        <f t="shared" si="114"/>
        <v>307.40083089063023</v>
      </c>
      <c r="K85" s="53">
        <f t="shared" si="114"/>
        <v>301.90673837865018</v>
      </c>
      <c r="L85" s="53">
        <f t="shared" si="114"/>
        <v>211.9020421064757</v>
      </c>
      <c r="M85" s="53">
        <f t="shared" si="114"/>
        <v>290.52491287149132</v>
      </c>
      <c r="N85" s="53">
        <f t="shared" si="114"/>
        <v>280.4805610024556</v>
      </c>
      <c r="O85" s="53">
        <f t="shared" si="114"/>
        <v>305.21990071334761</v>
      </c>
    </row>
    <row r="86" spans="1:15" x14ac:dyDescent="0.25">
      <c r="B86" s="458"/>
      <c r="C86" s="54" t="s">
        <v>96</v>
      </c>
      <c r="D86" s="55">
        <f t="shared" ref="D86:O86" si="115">D71/D59</f>
        <v>270.75080481926676</v>
      </c>
      <c r="E86" s="55">
        <f t="shared" si="115"/>
        <v>259.05795197409287</v>
      </c>
      <c r="F86" s="55">
        <f t="shared" si="115"/>
        <v>264.95255664174135</v>
      </c>
      <c r="G86" s="55">
        <f t="shared" si="115"/>
        <v>263.20823958787759</v>
      </c>
      <c r="H86" s="55">
        <f t="shared" si="115"/>
        <v>256.68655934378791</v>
      </c>
      <c r="I86" s="55">
        <f t="shared" si="115"/>
        <v>259.07202043674334</v>
      </c>
      <c r="J86" s="55">
        <f t="shared" si="115"/>
        <v>266.20760300068179</v>
      </c>
      <c r="K86" s="55">
        <f t="shared" si="115"/>
        <v>270.872147924204</v>
      </c>
      <c r="L86" s="55">
        <f t="shared" si="115"/>
        <v>262.14460642994334</v>
      </c>
      <c r="M86" s="55">
        <f t="shared" si="115"/>
        <v>265.01249245958792</v>
      </c>
      <c r="N86" s="55">
        <f t="shared" si="115"/>
        <v>266.38419268907802</v>
      </c>
      <c r="O86" s="55">
        <f t="shared" si="115"/>
        <v>269.43832904292236</v>
      </c>
    </row>
    <row r="87" spans="1:15" ht="15.75" thickBot="1" x14ac:dyDescent="0.3">
      <c r="B87" s="459"/>
      <c r="C87" s="56" t="s">
        <v>71</v>
      </c>
      <c r="D87" s="57" t="e">
        <f t="shared" ref="D87:O87" si="116">D72/D60</f>
        <v>#DIV/0!</v>
      </c>
      <c r="E87" s="57" t="e">
        <f t="shared" si="116"/>
        <v>#DIV/0!</v>
      </c>
      <c r="F87" s="57" t="e">
        <f t="shared" si="116"/>
        <v>#DIV/0!</v>
      </c>
      <c r="G87" s="57" t="e">
        <f t="shared" si="116"/>
        <v>#DIV/0!</v>
      </c>
      <c r="H87" s="57" t="e">
        <f t="shared" si="116"/>
        <v>#DIV/0!</v>
      </c>
      <c r="I87" s="57" t="e">
        <f t="shared" si="116"/>
        <v>#DIV/0!</v>
      </c>
      <c r="J87" s="57" t="e">
        <f t="shared" si="116"/>
        <v>#DIV/0!</v>
      </c>
      <c r="K87" s="57" t="e">
        <f t="shared" si="116"/>
        <v>#DIV/0!</v>
      </c>
      <c r="L87" s="57" t="e">
        <f t="shared" si="116"/>
        <v>#DIV/0!</v>
      </c>
      <c r="M87" s="57" t="e">
        <f t="shared" si="116"/>
        <v>#DIV/0!</v>
      </c>
      <c r="N87" s="57" t="e">
        <f t="shared" si="116"/>
        <v>#DIV/0!</v>
      </c>
      <c r="O87" s="57" t="e">
        <f t="shared" si="116"/>
        <v>#DIV/0!</v>
      </c>
    </row>
    <row r="88" spans="1:15" x14ac:dyDescent="0.25">
      <c r="B88" s="460" t="s">
        <v>79</v>
      </c>
      <c r="C88" s="52" t="s">
        <v>21</v>
      </c>
      <c r="D88" s="53">
        <f t="shared" ref="D88:O88" si="117">D79/D61</f>
        <v>0.9664307623272741</v>
      </c>
      <c r="E88" s="53">
        <f t="shared" si="117"/>
        <v>5.8809299056271211E-3</v>
      </c>
      <c r="F88" s="53">
        <f t="shared" si="117"/>
        <v>3.5859634341246083</v>
      </c>
      <c r="G88" s="53">
        <f t="shared" si="117"/>
        <v>0.86854180832641492</v>
      </c>
      <c r="H88" s="53">
        <f t="shared" si="117"/>
        <v>0</v>
      </c>
      <c r="I88" s="53">
        <f t="shared" si="117"/>
        <v>0.95702836093186594</v>
      </c>
      <c r="J88" s="53">
        <f t="shared" si="117"/>
        <v>0.93372548892681395</v>
      </c>
      <c r="K88" s="53">
        <f t="shared" si="117"/>
        <v>0.94464955981448251</v>
      </c>
      <c r="L88" s="53">
        <f t="shared" si="117"/>
        <v>0</v>
      </c>
      <c r="M88" s="53">
        <f t="shared" si="117"/>
        <v>1.6382509296628842</v>
      </c>
      <c r="N88" s="53">
        <f t="shared" si="117"/>
        <v>0</v>
      </c>
      <c r="O88" s="53">
        <f t="shared" si="117"/>
        <v>1.2689046108259379</v>
      </c>
    </row>
    <row r="89" spans="1:15" x14ac:dyDescent="0.25">
      <c r="B89" s="461"/>
      <c r="C89" s="54" t="s">
        <v>96</v>
      </c>
      <c r="D89" s="55">
        <f t="shared" ref="D89:O89" si="118">D83/D65</f>
        <v>0.9664307623272741</v>
      </c>
      <c r="E89" s="55">
        <f t="shared" si="118"/>
        <v>0.22633363494283129</v>
      </c>
      <c r="F89" s="55">
        <f t="shared" si="118"/>
        <v>0.92636102774963602</v>
      </c>
      <c r="G89" s="55">
        <f t="shared" si="118"/>
        <v>0.91175323789225005</v>
      </c>
      <c r="H89" s="55">
        <f t="shared" si="118"/>
        <v>0.73055021034155798</v>
      </c>
      <c r="I89" s="55">
        <f t="shared" si="118"/>
        <v>0.76768588255099679</v>
      </c>
      <c r="J89" s="55">
        <f t="shared" si="118"/>
        <v>0.78820586839167095</v>
      </c>
      <c r="K89" s="55">
        <f t="shared" si="118"/>
        <v>0.80847640336190807</v>
      </c>
      <c r="L89" s="55">
        <f t="shared" si="118"/>
        <v>0.74259460055098436</v>
      </c>
      <c r="M89" s="55">
        <f t="shared" si="118"/>
        <v>0.82905463472471896</v>
      </c>
      <c r="N89" s="55">
        <f t="shared" si="118"/>
        <v>0.72405930167625665</v>
      </c>
      <c r="O89" s="55">
        <f t="shared" si="118"/>
        <v>0.77194190593622125</v>
      </c>
    </row>
    <row r="90" spans="1:15" ht="15.75" thickBot="1" x14ac:dyDescent="0.3">
      <c r="B90" s="462"/>
      <c r="C90" s="56" t="s">
        <v>71</v>
      </c>
      <c r="D90" s="57" t="e">
        <f t="shared" ref="D90:O90" si="119">D84/D66</f>
        <v>#DIV/0!</v>
      </c>
      <c r="E90" s="57" t="e">
        <f t="shared" si="119"/>
        <v>#DIV/0!</v>
      </c>
      <c r="F90" s="57" t="e">
        <f t="shared" si="119"/>
        <v>#DIV/0!</v>
      </c>
      <c r="G90" s="57" t="e">
        <f t="shared" si="119"/>
        <v>#DIV/0!</v>
      </c>
      <c r="H90" s="57" t="e">
        <f t="shared" si="119"/>
        <v>#DIV/0!</v>
      </c>
      <c r="I90" s="57" t="e">
        <f t="shared" si="119"/>
        <v>#DIV/0!</v>
      </c>
      <c r="J90" s="57" t="e">
        <f t="shared" si="119"/>
        <v>#DIV/0!</v>
      </c>
      <c r="K90" s="57" t="e">
        <f t="shared" si="119"/>
        <v>#DIV/0!</v>
      </c>
      <c r="L90" s="57" t="e">
        <f t="shared" si="119"/>
        <v>#DIV/0!</v>
      </c>
      <c r="M90" s="57" t="e">
        <f t="shared" si="119"/>
        <v>#DIV/0!</v>
      </c>
      <c r="N90" s="57" t="e">
        <f t="shared" si="119"/>
        <v>#DIV/0!</v>
      </c>
      <c r="O90" s="57" t="e">
        <f t="shared" si="119"/>
        <v>#DIV/0!</v>
      </c>
    </row>
    <row r="91" spans="1:15" x14ac:dyDescent="0.25">
      <c r="B91" s="461" t="s">
        <v>80</v>
      </c>
      <c r="C91" s="52" t="s">
        <v>21</v>
      </c>
      <c r="D91" s="53">
        <f>(D67)/(D61+D55)</f>
        <v>250.02714707125713</v>
      </c>
      <c r="E91" s="53">
        <f t="shared" ref="E91:O91" si="120">(E67)/(E61+E55)</f>
        <v>193.07802600403571</v>
      </c>
      <c r="F91" s="53">
        <f t="shared" si="120"/>
        <v>252.41038072673263</v>
      </c>
      <c r="G91" s="53">
        <f t="shared" si="120"/>
        <v>224.88693010839179</v>
      </c>
      <c r="H91" s="53">
        <f t="shared" si="120"/>
        <v>208.57012500312777</v>
      </c>
      <c r="I91" s="53">
        <f t="shared" si="120"/>
        <v>239.24658467126264</v>
      </c>
      <c r="J91" s="53">
        <f t="shared" si="120"/>
        <v>275.40355299948334</v>
      </c>
      <c r="K91" s="53">
        <f t="shared" si="120"/>
        <v>265.41922376202348</v>
      </c>
      <c r="L91" s="53">
        <f t="shared" si="120"/>
        <v>197.89083424840049</v>
      </c>
      <c r="M91" s="53">
        <f t="shared" si="120"/>
        <v>258.88274810279393</v>
      </c>
      <c r="N91" s="53">
        <f t="shared" si="120"/>
        <v>235.56572068576932</v>
      </c>
      <c r="O91" s="53">
        <f t="shared" si="120"/>
        <v>265.24509484121216</v>
      </c>
    </row>
    <row r="92" spans="1:15" x14ac:dyDescent="0.25">
      <c r="B92" s="461"/>
      <c r="C92" s="54" t="s">
        <v>96</v>
      </c>
      <c r="D92" s="55">
        <f>(D71)/(D65+D59)</f>
        <v>250.02714707125713</v>
      </c>
      <c r="E92" s="55">
        <f t="shared" ref="E92:O92" si="121">(E71)/(E65+E59)</f>
        <v>219.29081747520311</v>
      </c>
      <c r="F92" s="55">
        <f t="shared" si="121"/>
        <v>229.65869389915369</v>
      </c>
      <c r="G92" s="55">
        <f t="shared" si="121"/>
        <v>228.42484035104124</v>
      </c>
      <c r="H92" s="55">
        <f t="shared" si="121"/>
        <v>223.93171792789502</v>
      </c>
      <c r="I92" s="55">
        <f t="shared" si="121"/>
        <v>226.71478262342438</v>
      </c>
      <c r="J92" s="55">
        <f t="shared" si="121"/>
        <v>233.76071894928282</v>
      </c>
      <c r="K92" s="55">
        <f t="shared" si="121"/>
        <v>237.89309560864569</v>
      </c>
      <c r="L92" s="55">
        <f t="shared" si="121"/>
        <v>232.27592906905116</v>
      </c>
      <c r="M92" s="55">
        <f t="shared" si="121"/>
        <v>234.95096063726859</v>
      </c>
      <c r="N92" s="55">
        <f t="shared" si="121"/>
        <v>235.00822626807053</v>
      </c>
      <c r="O92" s="55">
        <f t="shared" si="121"/>
        <v>237.41933166144472</v>
      </c>
    </row>
    <row r="93" spans="1:15" ht="15.75" thickBot="1" x14ac:dyDescent="0.3">
      <c r="B93" s="462"/>
      <c r="C93" s="56" t="s">
        <v>71</v>
      </c>
      <c r="D93" s="57" t="e">
        <f>(D72)/(D66+D60)</f>
        <v>#DIV/0!</v>
      </c>
      <c r="E93" s="57" t="e">
        <f t="shared" ref="E93:O93" si="122">(E72)/(E66+E60)</f>
        <v>#DIV/0!</v>
      </c>
      <c r="F93" s="57" t="e">
        <f t="shared" si="122"/>
        <v>#DIV/0!</v>
      </c>
      <c r="G93" s="57" t="e">
        <f t="shared" si="122"/>
        <v>#DIV/0!</v>
      </c>
      <c r="H93" s="57" t="e">
        <f t="shared" si="122"/>
        <v>#DIV/0!</v>
      </c>
      <c r="I93" s="57" t="e">
        <f t="shared" si="122"/>
        <v>#DIV/0!</v>
      </c>
      <c r="J93" s="57" t="e">
        <f t="shared" si="122"/>
        <v>#DIV/0!</v>
      </c>
      <c r="K93" s="57" t="e">
        <f t="shared" si="122"/>
        <v>#DIV/0!</v>
      </c>
      <c r="L93" s="57" t="e">
        <f t="shared" si="122"/>
        <v>#DIV/0!</v>
      </c>
      <c r="M93" s="57" t="e">
        <f t="shared" si="122"/>
        <v>#DIV/0!</v>
      </c>
      <c r="N93" s="57" t="e">
        <f t="shared" si="122"/>
        <v>#DIV/0!</v>
      </c>
      <c r="O93" s="57" t="e">
        <f t="shared" si="122"/>
        <v>#DIV/0!</v>
      </c>
    </row>
    <row r="94" spans="1:15" x14ac:dyDescent="0.25">
      <c r="A94" s="241"/>
      <c r="B94" s="373" t="s">
        <v>89</v>
      </c>
      <c r="C94" s="216">
        <v>932616</v>
      </c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</row>
    <row r="95" spans="1:15" x14ac:dyDescent="0.25">
      <c r="A95" s="242"/>
      <c r="B95" s="467" t="s">
        <v>90</v>
      </c>
      <c r="C95" s="212"/>
      <c r="D95" s="213">
        <f t="shared" ref="D95:O95" si="123">(D7*1000)/($C$94*30.4)</f>
        <v>0.85141800337071094</v>
      </c>
      <c r="E95" s="213">
        <f t="shared" si="123"/>
        <v>0.89268562273952212</v>
      </c>
      <c r="F95" s="213">
        <f t="shared" si="123"/>
        <v>1.0623061197861996</v>
      </c>
      <c r="G95" s="213">
        <f t="shared" si="123"/>
        <v>1.1030799385813668</v>
      </c>
      <c r="H95" s="213">
        <f t="shared" si="123"/>
        <v>1.1522836385980264</v>
      </c>
      <c r="I95" s="213">
        <f t="shared" si="123"/>
        <v>0.9074643684792929</v>
      </c>
      <c r="J95" s="213">
        <f t="shared" si="123"/>
        <v>1.0261528635015573</v>
      </c>
      <c r="K95" s="213">
        <f t="shared" si="123"/>
        <v>0.91557680647487116</v>
      </c>
      <c r="L95" s="213">
        <f t="shared" si="123"/>
        <v>0.88584295764759957</v>
      </c>
      <c r="M95" s="213">
        <f t="shared" si="123"/>
        <v>0.90883995579158661</v>
      </c>
      <c r="N95" s="213">
        <f t="shared" si="123"/>
        <v>0.87102894043828272</v>
      </c>
      <c r="O95" s="213">
        <f t="shared" si="123"/>
        <v>0.83706251526549202</v>
      </c>
    </row>
    <row r="96" spans="1:15" ht="10.5" customHeight="1" x14ac:dyDescent="0.25">
      <c r="A96" s="242"/>
      <c r="B96" s="468"/>
      <c r="C96" s="211"/>
      <c r="D96" s="214"/>
      <c r="E96" s="215"/>
      <c r="F96" s="215"/>
      <c r="G96" s="215"/>
      <c r="H96" s="214"/>
      <c r="I96" s="215"/>
      <c r="J96" s="215"/>
      <c r="K96" s="215"/>
      <c r="L96" s="215"/>
      <c r="M96" s="215"/>
      <c r="N96" s="215"/>
      <c r="O96" s="215"/>
    </row>
    <row r="97" spans="1:28" x14ac:dyDescent="0.25">
      <c r="A97" s="242"/>
      <c r="B97" s="467" t="s">
        <v>91</v>
      </c>
      <c r="C97" s="240"/>
      <c r="D97" s="498">
        <f t="shared" ref="D97:O97" si="124">((D13+D25)*1000)/($C$94*30.4)</f>
        <v>0.83282993891997292</v>
      </c>
      <c r="E97" s="498">
        <f t="shared" si="124"/>
        <v>0.86852466610051726</v>
      </c>
      <c r="F97" s="498">
        <f t="shared" si="124"/>
        <v>0.79974530048583203</v>
      </c>
      <c r="G97" s="498">
        <f t="shared" si="124"/>
        <v>0.86690217850140161</v>
      </c>
      <c r="H97" s="498">
        <f t="shared" si="124"/>
        <v>0.92019736898539617</v>
      </c>
      <c r="I97" s="498">
        <f t="shared" si="124"/>
        <v>0.92294854360998357</v>
      </c>
      <c r="J97" s="498">
        <f t="shared" si="124"/>
        <v>0.87392120094105419</v>
      </c>
      <c r="K97" s="498">
        <f t="shared" si="124"/>
        <v>0.87688400438291747</v>
      </c>
      <c r="L97" s="498">
        <f t="shared" si="124"/>
        <v>0.86196417276496273</v>
      </c>
      <c r="M97" s="498">
        <f t="shared" si="124"/>
        <v>0.64109423046795821</v>
      </c>
      <c r="N97" s="498">
        <f t="shared" si="124"/>
        <v>0.6473020091080528</v>
      </c>
      <c r="O97" s="498">
        <f t="shared" si="124"/>
        <v>0.82030856723114565</v>
      </c>
    </row>
    <row r="98" spans="1:28" ht="15.75" thickBot="1" x14ac:dyDescent="0.3">
      <c r="A98" s="243"/>
      <c r="B98" s="468"/>
      <c r="C98" s="211"/>
      <c r="D98" s="499"/>
      <c r="E98" s="499"/>
      <c r="F98" s="499"/>
      <c r="G98" s="499"/>
      <c r="H98" s="499"/>
      <c r="I98" s="499"/>
      <c r="J98" s="499"/>
      <c r="K98" s="499"/>
      <c r="L98" s="499"/>
      <c r="M98" s="499"/>
      <c r="N98" s="499"/>
      <c r="O98" s="499"/>
    </row>
    <row r="99" spans="1:28" ht="15.75" x14ac:dyDescent="0.25">
      <c r="B99" s="460" t="s">
        <v>113</v>
      </c>
      <c r="C99" s="259" t="s">
        <v>115</v>
      </c>
      <c r="D99" s="244"/>
      <c r="E99" s="244"/>
      <c r="F99" s="244"/>
      <c r="G99" s="244"/>
      <c r="H99" s="244"/>
      <c r="I99" s="244"/>
      <c r="J99" s="244"/>
      <c r="K99" s="244"/>
      <c r="L99" s="245"/>
      <c r="M99" s="244"/>
      <c r="N99" s="244"/>
      <c r="O99" s="244"/>
    </row>
    <row r="100" spans="1:28" ht="15.75" x14ac:dyDescent="0.25">
      <c r="B100" s="461"/>
      <c r="C100" s="260" t="s">
        <v>114</v>
      </c>
      <c r="D100" s="246"/>
      <c r="E100" s="246"/>
      <c r="F100" s="246"/>
      <c r="G100" s="246"/>
      <c r="H100" s="246"/>
      <c r="I100" s="246"/>
      <c r="J100" s="246"/>
      <c r="K100" s="246"/>
      <c r="L100" s="247"/>
      <c r="M100" s="246"/>
      <c r="N100" s="246"/>
      <c r="O100" s="246"/>
    </row>
    <row r="101" spans="1:28" ht="18.75" x14ac:dyDescent="0.3">
      <c r="B101" s="461"/>
      <c r="C101" s="261" t="s">
        <v>116</v>
      </c>
      <c r="D101" s="248">
        <v>221773</v>
      </c>
      <c r="E101" s="248">
        <v>229691</v>
      </c>
      <c r="F101" s="248">
        <v>200610</v>
      </c>
      <c r="G101" s="248">
        <v>241572</v>
      </c>
      <c r="H101" s="248">
        <v>283238</v>
      </c>
      <c r="I101" s="248">
        <v>198524</v>
      </c>
      <c r="J101" s="248">
        <v>226194</v>
      </c>
      <c r="K101" s="248">
        <v>211112</v>
      </c>
      <c r="L101" s="249">
        <v>239574</v>
      </c>
      <c r="M101" s="248">
        <v>197058</v>
      </c>
      <c r="N101" s="248">
        <v>233685</v>
      </c>
      <c r="O101" s="250">
        <v>248003</v>
      </c>
    </row>
    <row r="102" spans="1:28" ht="15.75" x14ac:dyDescent="0.25">
      <c r="B102" s="461"/>
      <c r="C102" s="260" t="s">
        <v>120</v>
      </c>
      <c r="D102" s="246"/>
      <c r="E102" s="246"/>
      <c r="F102" s="246"/>
      <c r="G102" s="246"/>
      <c r="H102" s="246"/>
      <c r="I102" s="246"/>
      <c r="J102" s="246"/>
      <c r="K102" s="246"/>
      <c r="L102" s="247"/>
      <c r="M102" s="246"/>
      <c r="N102" s="246"/>
      <c r="O102" s="246"/>
    </row>
    <row r="103" spans="1:28" ht="16.5" thickBot="1" x14ac:dyDescent="0.3">
      <c r="B103" s="461"/>
      <c r="C103" s="260" t="s">
        <v>117</v>
      </c>
      <c r="D103" s="246"/>
      <c r="E103" s="246"/>
      <c r="F103" s="246"/>
      <c r="G103" s="246"/>
      <c r="H103" s="246"/>
      <c r="I103" s="246"/>
      <c r="J103" s="246"/>
      <c r="K103" s="246"/>
      <c r="L103" s="247"/>
      <c r="M103" s="246"/>
      <c r="N103" s="246"/>
      <c r="O103" s="246"/>
    </row>
    <row r="104" spans="1:28" ht="15.75" x14ac:dyDescent="0.25">
      <c r="B104" s="458"/>
      <c r="C104" s="251" t="s">
        <v>95</v>
      </c>
      <c r="D104" s="252">
        <f t="shared" ref="D104:O104" si="125">SUM(D99:D103)</f>
        <v>221773</v>
      </c>
      <c r="E104" s="252">
        <f t="shared" si="125"/>
        <v>229691</v>
      </c>
      <c r="F104" s="252">
        <f t="shared" si="125"/>
        <v>200610</v>
      </c>
      <c r="G104" s="252">
        <f t="shared" si="125"/>
        <v>241572</v>
      </c>
      <c r="H104" s="252">
        <f t="shared" si="125"/>
        <v>283238</v>
      </c>
      <c r="I104" s="252">
        <f t="shared" si="125"/>
        <v>198524</v>
      </c>
      <c r="J104" s="252">
        <f t="shared" si="125"/>
        <v>226194</v>
      </c>
      <c r="K104" s="252">
        <f t="shared" si="125"/>
        <v>211112</v>
      </c>
      <c r="L104" s="252">
        <f t="shared" si="125"/>
        <v>239574</v>
      </c>
      <c r="M104" s="252">
        <f t="shared" si="125"/>
        <v>197058</v>
      </c>
      <c r="N104" s="252">
        <f t="shared" si="125"/>
        <v>233685</v>
      </c>
      <c r="O104" s="252">
        <f t="shared" si="125"/>
        <v>248003</v>
      </c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</row>
    <row r="105" spans="1:28" ht="15.75" x14ac:dyDescent="0.25">
      <c r="B105" s="458"/>
      <c r="C105" s="262" t="s">
        <v>70</v>
      </c>
      <c r="D105" s="246">
        <v>226298.97959183675</v>
      </c>
      <c r="E105" s="246">
        <v>234378.57142857142</v>
      </c>
      <c r="F105" s="246">
        <v>204704.08163265308</v>
      </c>
      <c r="G105" s="253">
        <v>246502.04081632654</v>
      </c>
      <c r="H105" s="246">
        <v>289018.36734693876</v>
      </c>
      <c r="I105" s="246">
        <v>202575.51020408163</v>
      </c>
      <c r="J105" s="253">
        <v>230810.20408163266</v>
      </c>
      <c r="K105" s="246">
        <v>215420.4081632653</v>
      </c>
      <c r="L105" s="246">
        <v>244463.26530612246</v>
      </c>
      <c r="M105" s="253">
        <v>201079.5918367347</v>
      </c>
      <c r="N105" s="246">
        <v>238454.08163265308</v>
      </c>
      <c r="O105" s="246">
        <v>253064.28571428571</v>
      </c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</row>
    <row r="106" spans="1:28" ht="15.75" x14ac:dyDescent="0.25">
      <c r="B106" s="458"/>
      <c r="C106" s="262" t="s">
        <v>17</v>
      </c>
      <c r="D106" s="246">
        <v>230917.32611411912</v>
      </c>
      <c r="E106" s="246">
        <v>239161.80758017494</v>
      </c>
      <c r="F106" s="246">
        <v>208881.71595168681</v>
      </c>
      <c r="G106" s="253">
        <v>251532.6947105373</v>
      </c>
      <c r="H106" s="246">
        <v>294916.7013744273</v>
      </c>
      <c r="I106" s="246">
        <v>206709.70428987921</v>
      </c>
      <c r="J106" s="253">
        <v>235520.61640982926</v>
      </c>
      <c r="K106" s="246">
        <v>219816.7430237401</v>
      </c>
      <c r="L106" s="246">
        <v>249452.31153685966</v>
      </c>
      <c r="M106" s="253">
        <v>205183.2569762599</v>
      </c>
      <c r="N106" s="246">
        <v>243320.4914618909</v>
      </c>
      <c r="O106" s="246">
        <v>258228.86297376093</v>
      </c>
      <c r="Q106" s="416"/>
      <c r="R106" s="416"/>
      <c r="S106" s="416"/>
      <c r="T106" s="416"/>
      <c r="U106" s="416"/>
      <c r="V106" s="416"/>
      <c r="W106" s="416"/>
      <c r="X106" s="416"/>
      <c r="Y106" s="416"/>
      <c r="Z106" s="416"/>
      <c r="AA106" s="416"/>
      <c r="AB106" s="416"/>
    </row>
    <row r="107" spans="1:28" ht="15.75" x14ac:dyDescent="0.25">
      <c r="B107" s="458"/>
      <c r="C107" s="179" t="s">
        <v>118</v>
      </c>
      <c r="D107" s="248">
        <v>233249.82435769608</v>
      </c>
      <c r="E107" s="248">
        <v>241577.58341431813</v>
      </c>
      <c r="F107" s="248">
        <v>210991.63227443112</v>
      </c>
      <c r="G107" s="254">
        <v>254073.42900054273</v>
      </c>
      <c r="H107" s="248">
        <v>297895.65795396699</v>
      </c>
      <c r="I107" s="248">
        <v>208797.68110088809</v>
      </c>
      <c r="J107" s="254">
        <v>237899.61253518108</v>
      </c>
      <c r="K107" s="248">
        <v>222037.11416539404</v>
      </c>
      <c r="L107" s="248">
        <v>251972.03185541381</v>
      </c>
      <c r="M107" s="254">
        <v>207255.81512753526</v>
      </c>
      <c r="N107" s="248">
        <v>245778.2742039302</v>
      </c>
      <c r="O107" s="248">
        <v>260837.23532703123</v>
      </c>
      <c r="Q107" s="416"/>
      <c r="R107" s="416"/>
      <c r="S107" s="416"/>
      <c r="T107" s="416"/>
      <c r="U107" s="416"/>
      <c r="V107" s="416"/>
      <c r="W107" s="416"/>
      <c r="X107" s="416"/>
      <c r="Y107" s="416"/>
      <c r="Z107" s="416"/>
      <c r="AA107" s="416"/>
      <c r="AB107" s="416"/>
    </row>
    <row r="108" spans="1:28" ht="16.5" thickBot="1" x14ac:dyDescent="0.3">
      <c r="B108" s="459"/>
      <c r="C108" s="263" t="s">
        <v>119</v>
      </c>
      <c r="D108" s="255">
        <v>235605.88318959202</v>
      </c>
      <c r="E108" s="255">
        <v>244017.76102456378</v>
      </c>
      <c r="F108" s="255">
        <v>213122.86088326375</v>
      </c>
      <c r="G108" s="256">
        <v>256639.8272732755</v>
      </c>
      <c r="H108" s="255">
        <v>300904.70500400709</v>
      </c>
      <c r="I108" s="257">
        <v>210906.74858675565</v>
      </c>
      <c r="J108" s="256">
        <v>240302.63892442532</v>
      </c>
      <c r="K108" s="257">
        <v>224279.91329837783</v>
      </c>
      <c r="L108" s="257">
        <v>254517.20389435737</v>
      </c>
      <c r="M108" s="258">
        <v>209349.30820963156</v>
      </c>
      <c r="N108" s="257">
        <v>248260.88303427293</v>
      </c>
      <c r="O108" s="255">
        <v>263471.95487578912</v>
      </c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</row>
    <row r="109" spans="1:28" ht="15.75" thickTop="1" x14ac:dyDescent="0.25">
      <c r="A109" s="463" t="s">
        <v>15</v>
      </c>
      <c r="B109" s="464" t="s">
        <v>25</v>
      </c>
      <c r="C109" s="420" t="s">
        <v>92</v>
      </c>
      <c r="D109" s="217">
        <f>+PIGOO!B86</f>
        <v>0</v>
      </c>
      <c r="E109" s="217">
        <f>+PIGOO!C86</f>
        <v>0</v>
      </c>
      <c r="F109" s="217">
        <f>+PIGOO!D86</f>
        <v>0</v>
      </c>
      <c r="G109" s="217">
        <f>+PIGOO!E86</f>
        <v>0</v>
      </c>
      <c r="H109" s="217">
        <f>+PIGOO!F86</f>
        <v>0</v>
      </c>
      <c r="I109" s="217">
        <f>+PIGOO!G86</f>
        <v>0</v>
      </c>
      <c r="J109" s="217">
        <f>+PIGOO!H86</f>
        <v>0</v>
      </c>
      <c r="K109" s="217">
        <f>+PIGOO!I86</f>
        <v>0</v>
      </c>
      <c r="L109" s="217">
        <f>+PIGOO!J86</f>
        <v>0</v>
      </c>
      <c r="M109" s="217">
        <f>+PIGOO!K86</f>
        <v>0</v>
      </c>
      <c r="N109" s="217">
        <f>+PIGOO!L86</f>
        <v>0</v>
      </c>
      <c r="O109" s="217">
        <f>+PIGOO!M86</f>
        <v>0</v>
      </c>
    </row>
    <row r="110" spans="1:28" ht="15.75" thickBot="1" x14ac:dyDescent="0.3">
      <c r="A110" s="453"/>
      <c r="B110" s="465"/>
      <c r="C110" s="178" t="s">
        <v>69</v>
      </c>
      <c r="D110" s="41"/>
      <c r="E110" s="42"/>
      <c r="F110" s="42"/>
      <c r="G110" s="42"/>
      <c r="H110" s="42"/>
      <c r="I110" s="42"/>
      <c r="J110" s="42"/>
      <c r="K110" s="59"/>
      <c r="L110" s="42"/>
      <c r="M110" s="42"/>
      <c r="N110" s="42"/>
      <c r="O110" s="218"/>
      <c r="Q110" s="1" t="s">
        <v>26</v>
      </c>
    </row>
    <row r="111" spans="1:28" x14ac:dyDescent="0.25">
      <c r="A111" s="219"/>
      <c r="B111" s="465"/>
      <c r="C111" s="45" t="s">
        <v>93</v>
      </c>
      <c r="D111" s="49" t="e">
        <f>(D109/D110)-1</f>
        <v>#DIV/0!</v>
      </c>
      <c r="E111" s="15" t="e">
        <f t="shared" ref="E111:G111" si="126">(E109/E110)-1</f>
        <v>#DIV/0!</v>
      </c>
      <c r="F111" s="15" t="e">
        <f t="shared" si="126"/>
        <v>#DIV/0!</v>
      </c>
      <c r="G111" s="15" t="e">
        <f t="shared" si="126"/>
        <v>#DIV/0!</v>
      </c>
      <c r="H111" s="15" t="e">
        <f t="shared" ref="H111:O111" si="127">(H109/H110)-1</f>
        <v>#DIV/0!</v>
      </c>
      <c r="I111" s="15" t="e">
        <f t="shared" si="127"/>
        <v>#DIV/0!</v>
      </c>
      <c r="J111" s="15" t="e">
        <f t="shared" si="127"/>
        <v>#DIV/0!</v>
      </c>
      <c r="K111" s="16" t="e">
        <f>(K109/K110)-1</f>
        <v>#DIV/0!</v>
      </c>
      <c r="L111" s="15" t="e">
        <f t="shared" si="127"/>
        <v>#DIV/0!</v>
      </c>
      <c r="M111" s="15" t="e">
        <f t="shared" si="127"/>
        <v>#DIV/0!</v>
      </c>
      <c r="N111" s="15" t="e">
        <f t="shared" si="127"/>
        <v>#DIV/0!</v>
      </c>
      <c r="O111" s="220" t="e">
        <f t="shared" si="127"/>
        <v>#DIV/0!</v>
      </c>
    </row>
    <row r="112" spans="1:28" x14ac:dyDescent="0.25">
      <c r="A112" s="219"/>
      <c r="B112" s="465"/>
      <c r="C112" s="58" t="s">
        <v>94</v>
      </c>
      <c r="D112" s="60" t="e">
        <f>(D113/D114)-1</f>
        <v>#DIV/0!</v>
      </c>
      <c r="E112" s="61" t="e">
        <f t="shared" ref="E112:G112" si="128">(E113/E114)-1</f>
        <v>#DIV/0!</v>
      </c>
      <c r="F112" s="61" t="e">
        <f t="shared" si="128"/>
        <v>#DIV/0!</v>
      </c>
      <c r="G112" s="61" t="e">
        <f t="shared" si="128"/>
        <v>#DIV/0!</v>
      </c>
      <c r="H112" s="61" t="e">
        <f t="shared" ref="H112:J112" si="129">(H113/H114)-1</f>
        <v>#DIV/0!</v>
      </c>
      <c r="I112" s="61" t="e">
        <f t="shared" si="129"/>
        <v>#DIV/0!</v>
      </c>
      <c r="J112" s="61" t="e">
        <f t="shared" si="129"/>
        <v>#DIV/0!</v>
      </c>
      <c r="K112" s="62" t="e">
        <f>(K113/K114)-1</f>
        <v>#DIV/0!</v>
      </c>
      <c r="L112" s="61" t="e">
        <f t="shared" ref="L112:O112" si="130">(L113/L114)-1</f>
        <v>#DIV/0!</v>
      </c>
      <c r="M112" s="61" t="e">
        <f t="shared" si="130"/>
        <v>#DIV/0!</v>
      </c>
      <c r="N112" s="61" t="e">
        <f t="shared" si="130"/>
        <v>#DIV/0!</v>
      </c>
      <c r="O112" s="221" t="e">
        <f t="shared" si="130"/>
        <v>#DIV/0!</v>
      </c>
    </row>
    <row r="113" spans="1:15" x14ac:dyDescent="0.25">
      <c r="A113" s="219"/>
      <c r="B113" s="465"/>
      <c r="C113" s="45" t="s">
        <v>95</v>
      </c>
      <c r="D113" s="8">
        <f>+D109</f>
        <v>0</v>
      </c>
      <c r="E113" s="9">
        <f t="shared" ref="E113:G114" si="131">D113+E109</f>
        <v>0</v>
      </c>
      <c r="F113" s="9">
        <f t="shared" si="131"/>
        <v>0</v>
      </c>
      <c r="G113" s="9">
        <f t="shared" si="131"/>
        <v>0</v>
      </c>
      <c r="H113" s="9">
        <f t="shared" ref="H113:J114" si="132">G113+H109</f>
        <v>0</v>
      </c>
      <c r="I113" s="9">
        <f t="shared" si="132"/>
        <v>0</v>
      </c>
      <c r="J113" s="9">
        <f t="shared" si="132"/>
        <v>0</v>
      </c>
      <c r="K113" s="9">
        <f t="shared" ref="K113:K114" si="133">J113+K109</f>
        <v>0</v>
      </c>
      <c r="L113" s="9">
        <f t="shared" ref="L113:L114" si="134">K113+L109</f>
        <v>0</v>
      </c>
      <c r="M113" s="9">
        <f t="shared" ref="M113:M114" si="135">L113+M109</f>
        <v>0</v>
      </c>
      <c r="N113" s="9">
        <f t="shared" ref="N113:N114" si="136">M113+N109</f>
        <v>0</v>
      </c>
      <c r="O113" s="222">
        <f t="shared" ref="O113:O114" si="137">N113+O109</f>
        <v>0</v>
      </c>
    </row>
    <row r="114" spans="1:15" ht="15.75" thickBot="1" x14ac:dyDescent="0.3">
      <c r="A114" s="219"/>
      <c r="B114" s="466"/>
      <c r="C114" s="63" t="s">
        <v>70</v>
      </c>
      <c r="D114" s="64">
        <f>+D110</f>
        <v>0</v>
      </c>
      <c r="E114" s="42">
        <f t="shared" si="131"/>
        <v>0</v>
      </c>
      <c r="F114" s="42">
        <f t="shared" si="131"/>
        <v>0</v>
      </c>
      <c r="G114" s="42">
        <f t="shared" si="131"/>
        <v>0</v>
      </c>
      <c r="H114" s="42">
        <f t="shared" si="132"/>
        <v>0</v>
      </c>
      <c r="I114" s="42">
        <f t="shared" si="132"/>
        <v>0</v>
      </c>
      <c r="J114" s="42">
        <f t="shared" si="132"/>
        <v>0</v>
      </c>
      <c r="K114" s="42">
        <f t="shared" si="133"/>
        <v>0</v>
      </c>
      <c r="L114" s="42">
        <f t="shared" si="134"/>
        <v>0</v>
      </c>
      <c r="M114" s="42">
        <f t="shared" si="135"/>
        <v>0</v>
      </c>
      <c r="N114" s="42">
        <f t="shared" si="136"/>
        <v>0</v>
      </c>
      <c r="O114" s="218">
        <f t="shared" si="137"/>
        <v>0</v>
      </c>
    </row>
    <row r="115" spans="1:15" x14ac:dyDescent="0.25">
      <c r="A115" s="452" t="s">
        <v>15</v>
      </c>
      <c r="B115" s="446" t="s">
        <v>27</v>
      </c>
      <c r="C115" s="54" t="s">
        <v>92</v>
      </c>
      <c r="D115" s="153">
        <f>+PIGOO!B87</f>
        <v>0</v>
      </c>
      <c r="E115" s="153">
        <f>+PIGOO!C87</f>
        <v>0</v>
      </c>
      <c r="F115" s="153">
        <f>+PIGOO!D87</f>
        <v>0</v>
      </c>
      <c r="G115" s="153">
        <f>+PIGOO!E87</f>
        <v>0</v>
      </c>
      <c r="H115" s="153">
        <f>+PIGOO!F87</f>
        <v>0</v>
      </c>
      <c r="I115" s="153">
        <f>+PIGOO!G87</f>
        <v>0</v>
      </c>
      <c r="J115" s="153">
        <f>+PIGOO!H87</f>
        <v>0</v>
      </c>
      <c r="K115" s="153">
        <f>+PIGOO!I87</f>
        <v>0</v>
      </c>
      <c r="L115" s="153">
        <f>+PIGOO!J87</f>
        <v>0</v>
      </c>
      <c r="M115" s="153">
        <f>+PIGOO!K87</f>
        <v>0</v>
      </c>
      <c r="N115" s="153">
        <f>+PIGOO!L87</f>
        <v>0</v>
      </c>
      <c r="O115" s="153">
        <f>+PIGOO!M87</f>
        <v>0</v>
      </c>
    </row>
    <row r="116" spans="1:15" ht="15.75" thickBot="1" x14ac:dyDescent="0.3">
      <c r="A116" s="453"/>
      <c r="B116" s="447"/>
      <c r="C116" s="179" t="s">
        <v>69</v>
      </c>
      <c r="D116" s="155"/>
      <c r="E116" s="156"/>
      <c r="F116" s="12"/>
      <c r="G116" s="12"/>
      <c r="H116" s="67"/>
      <c r="I116" s="67"/>
      <c r="J116" s="12"/>
      <c r="K116" s="13"/>
      <c r="L116" s="12"/>
      <c r="M116" s="12"/>
      <c r="N116" s="12"/>
      <c r="O116" s="224"/>
    </row>
    <row r="117" spans="1:15" x14ac:dyDescent="0.25">
      <c r="A117" s="219"/>
      <c r="B117" s="447"/>
      <c r="C117" s="45" t="s">
        <v>93</v>
      </c>
      <c r="D117" s="49" t="e">
        <f>(D115/D116)-1</f>
        <v>#DIV/0!</v>
      </c>
      <c r="E117" s="15" t="e">
        <f t="shared" ref="E117:O117" si="138">(E115/E116)-1</f>
        <v>#DIV/0!</v>
      </c>
      <c r="F117" s="15" t="e">
        <f t="shared" si="138"/>
        <v>#DIV/0!</v>
      </c>
      <c r="G117" s="15" t="e">
        <f t="shared" si="138"/>
        <v>#DIV/0!</v>
      </c>
      <c r="H117" s="15" t="e">
        <f t="shared" si="138"/>
        <v>#DIV/0!</v>
      </c>
      <c r="I117" s="15" t="e">
        <f t="shared" si="138"/>
        <v>#DIV/0!</v>
      </c>
      <c r="J117" s="15" t="e">
        <f t="shared" si="138"/>
        <v>#DIV/0!</v>
      </c>
      <c r="K117" s="16" t="e">
        <f>(K115/K116)-1</f>
        <v>#DIV/0!</v>
      </c>
      <c r="L117" s="15" t="e">
        <f t="shared" si="138"/>
        <v>#DIV/0!</v>
      </c>
      <c r="M117" s="15" t="e">
        <f t="shared" si="138"/>
        <v>#DIV/0!</v>
      </c>
      <c r="N117" s="15" t="e">
        <f t="shared" si="138"/>
        <v>#DIV/0!</v>
      </c>
      <c r="O117" s="220" t="e">
        <f t="shared" si="138"/>
        <v>#DIV/0!</v>
      </c>
    </row>
    <row r="118" spans="1:15" x14ac:dyDescent="0.25">
      <c r="A118" s="219"/>
      <c r="B118" s="447"/>
      <c r="C118" s="66" t="s">
        <v>94</v>
      </c>
      <c r="D118" s="68" t="e">
        <f>(D119/D120)-1</f>
        <v>#DIV/0!</v>
      </c>
      <c r="E118" s="17" t="e">
        <f t="shared" ref="E118:O118" si="139">(E119/E120)-1</f>
        <v>#DIV/0!</v>
      </c>
      <c r="F118" s="17" t="e">
        <f t="shared" si="139"/>
        <v>#DIV/0!</v>
      </c>
      <c r="G118" s="17" t="e">
        <f t="shared" si="139"/>
        <v>#DIV/0!</v>
      </c>
      <c r="H118" s="17" t="e">
        <f t="shared" si="139"/>
        <v>#DIV/0!</v>
      </c>
      <c r="I118" s="17" t="e">
        <f t="shared" si="139"/>
        <v>#DIV/0!</v>
      </c>
      <c r="J118" s="17" t="e">
        <f t="shared" si="139"/>
        <v>#DIV/0!</v>
      </c>
      <c r="K118" s="18" t="e">
        <f>(K119/K120)-1</f>
        <v>#DIV/0!</v>
      </c>
      <c r="L118" s="17" t="e">
        <f t="shared" si="139"/>
        <v>#DIV/0!</v>
      </c>
      <c r="M118" s="17" t="e">
        <f t="shared" si="139"/>
        <v>#DIV/0!</v>
      </c>
      <c r="N118" s="17" t="e">
        <f t="shared" si="139"/>
        <v>#DIV/0!</v>
      </c>
      <c r="O118" s="225" t="e">
        <f t="shared" si="139"/>
        <v>#DIV/0!</v>
      </c>
    </row>
    <row r="119" spans="1:15" x14ac:dyDescent="0.25">
      <c r="A119" s="219"/>
      <c r="B119" s="447"/>
      <c r="C119" s="45" t="s">
        <v>95</v>
      </c>
      <c r="D119" s="8">
        <f>D115</f>
        <v>0</v>
      </c>
      <c r="E119" s="9">
        <f t="shared" ref="E119:J120" si="140">D119+E115</f>
        <v>0</v>
      </c>
      <c r="F119" s="9">
        <f t="shared" si="140"/>
        <v>0</v>
      </c>
      <c r="G119" s="9">
        <f t="shared" si="140"/>
        <v>0</v>
      </c>
      <c r="H119" s="9">
        <f t="shared" si="140"/>
        <v>0</v>
      </c>
      <c r="I119" s="9">
        <f t="shared" si="140"/>
        <v>0</v>
      </c>
      <c r="J119" s="9">
        <f t="shared" si="140"/>
        <v>0</v>
      </c>
      <c r="K119" s="9">
        <f t="shared" ref="K119:K120" si="141">J119+K115</f>
        <v>0</v>
      </c>
      <c r="L119" s="9">
        <f t="shared" ref="L119:L120" si="142">K119+L115</f>
        <v>0</v>
      </c>
      <c r="M119" s="9">
        <f t="shared" ref="M119:M120" si="143">L119+M115</f>
        <v>0</v>
      </c>
      <c r="N119" s="9">
        <f t="shared" ref="N119:N120" si="144">M119+N115</f>
        <v>0</v>
      </c>
      <c r="O119" s="222">
        <f t="shared" ref="O119:O120" si="145">N119+O115</f>
        <v>0</v>
      </c>
    </row>
    <row r="120" spans="1:15" ht="15.75" thickBot="1" x14ac:dyDescent="0.3">
      <c r="A120" s="219"/>
      <c r="B120" s="447"/>
      <c r="C120" s="69" t="s">
        <v>70</v>
      </c>
      <c r="D120" s="70">
        <f>D116</f>
        <v>0</v>
      </c>
      <c r="E120" s="71">
        <f t="shared" si="140"/>
        <v>0</v>
      </c>
      <c r="F120" s="71">
        <f t="shared" si="140"/>
        <v>0</v>
      </c>
      <c r="G120" s="71">
        <f t="shared" si="140"/>
        <v>0</v>
      </c>
      <c r="H120" s="71">
        <f t="shared" si="140"/>
        <v>0</v>
      </c>
      <c r="I120" s="71">
        <f t="shared" si="140"/>
        <v>0</v>
      </c>
      <c r="J120" s="71">
        <f t="shared" si="140"/>
        <v>0</v>
      </c>
      <c r="K120" s="71">
        <f t="shared" si="141"/>
        <v>0</v>
      </c>
      <c r="L120" s="71">
        <f t="shared" si="142"/>
        <v>0</v>
      </c>
      <c r="M120" s="71">
        <f t="shared" si="143"/>
        <v>0</v>
      </c>
      <c r="N120" s="71">
        <f t="shared" si="144"/>
        <v>0</v>
      </c>
      <c r="O120" s="226">
        <f t="shared" si="145"/>
        <v>0</v>
      </c>
    </row>
    <row r="121" spans="1:15" x14ac:dyDescent="0.25">
      <c r="A121" s="452" t="s">
        <v>15</v>
      </c>
      <c r="B121" s="449" t="s">
        <v>28</v>
      </c>
      <c r="C121" s="176" t="s">
        <v>92</v>
      </c>
      <c r="D121" s="159"/>
      <c r="E121" s="160"/>
      <c r="F121" s="65"/>
      <c r="G121" s="65"/>
      <c r="H121" s="65"/>
      <c r="I121" s="65"/>
      <c r="J121" s="21"/>
      <c r="K121" s="22"/>
      <c r="L121" s="21"/>
      <c r="M121" s="21"/>
      <c r="N121" s="21"/>
      <c r="O121" s="223"/>
    </row>
    <row r="122" spans="1:15" ht="15.75" thickBot="1" x14ac:dyDescent="0.3">
      <c r="A122" s="453"/>
      <c r="B122" s="450"/>
      <c r="C122" s="180" t="s">
        <v>69</v>
      </c>
      <c r="D122" s="161"/>
      <c r="E122" s="162"/>
      <c r="F122" s="74"/>
      <c r="G122" s="74"/>
      <c r="H122" s="74"/>
      <c r="I122" s="74"/>
      <c r="J122" s="25"/>
      <c r="K122" s="26"/>
      <c r="L122" s="25"/>
      <c r="M122" s="25"/>
      <c r="N122" s="25"/>
      <c r="O122" s="227"/>
    </row>
    <row r="123" spans="1:15" x14ac:dyDescent="0.25">
      <c r="A123" s="219"/>
      <c r="B123" s="450"/>
      <c r="C123" s="45" t="s">
        <v>93</v>
      </c>
      <c r="D123" s="49" t="e">
        <f>(D121/D122)-1</f>
        <v>#DIV/0!</v>
      </c>
      <c r="E123" s="15" t="e">
        <f t="shared" ref="E123:J123" si="146">(E121/E122)-1</f>
        <v>#DIV/0!</v>
      </c>
      <c r="F123" s="15" t="e">
        <f t="shared" si="146"/>
        <v>#DIV/0!</v>
      </c>
      <c r="G123" s="15" t="e">
        <f t="shared" si="146"/>
        <v>#DIV/0!</v>
      </c>
      <c r="H123" s="15" t="e">
        <f t="shared" si="146"/>
        <v>#DIV/0!</v>
      </c>
      <c r="I123" s="15" t="e">
        <f t="shared" si="146"/>
        <v>#DIV/0!</v>
      </c>
      <c r="J123" s="15" t="e">
        <f t="shared" si="146"/>
        <v>#DIV/0!</v>
      </c>
      <c r="K123" s="16" t="e">
        <f>(K121/K122)-1</f>
        <v>#DIV/0!</v>
      </c>
      <c r="L123" s="15" t="e">
        <f t="shared" ref="L123:O123" si="147">(L121/L122)-1</f>
        <v>#DIV/0!</v>
      </c>
      <c r="M123" s="15" t="e">
        <f t="shared" si="147"/>
        <v>#DIV/0!</v>
      </c>
      <c r="N123" s="15" t="e">
        <f t="shared" si="147"/>
        <v>#DIV/0!</v>
      </c>
      <c r="O123" s="220" t="e">
        <f t="shared" si="147"/>
        <v>#DIV/0!</v>
      </c>
    </row>
    <row r="124" spans="1:15" x14ac:dyDescent="0.25">
      <c r="A124" s="219"/>
      <c r="B124" s="450"/>
      <c r="C124" s="73" t="s">
        <v>94</v>
      </c>
      <c r="D124" s="75" t="e">
        <f>(D125/D126)-1</f>
        <v>#DIV/0!</v>
      </c>
      <c r="E124" s="27" t="e">
        <f t="shared" ref="E124:J124" si="148">(E125/E126)-1</f>
        <v>#DIV/0!</v>
      </c>
      <c r="F124" s="27" t="e">
        <f t="shared" si="148"/>
        <v>#DIV/0!</v>
      </c>
      <c r="G124" s="27" t="e">
        <f t="shared" si="148"/>
        <v>#DIV/0!</v>
      </c>
      <c r="H124" s="27" t="e">
        <f t="shared" si="148"/>
        <v>#DIV/0!</v>
      </c>
      <c r="I124" s="27" t="e">
        <f t="shared" si="148"/>
        <v>#DIV/0!</v>
      </c>
      <c r="J124" s="27" t="e">
        <f t="shared" si="148"/>
        <v>#DIV/0!</v>
      </c>
      <c r="K124" s="28" t="e">
        <f>(K125/K126)-1</f>
        <v>#DIV/0!</v>
      </c>
      <c r="L124" s="27" t="e">
        <f t="shared" ref="L124:O124" si="149">(L125/L126)-1</f>
        <v>#DIV/0!</v>
      </c>
      <c r="M124" s="27" t="e">
        <f t="shared" si="149"/>
        <v>#DIV/0!</v>
      </c>
      <c r="N124" s="27" t="e">
        <f t="shared" si="149"/>
        <v>#DIV/0!</v>
      </c>
      <c r="O124" s="228" t="e">
        <f t="shared" si="149"/>
        <v>#DIV/0!</v>
      </c>
    </row>
    <row r="125" spans="1:15" x14ac:dyDescent="0.25">
      <c r="A125" s="219"/>
      <c r="B125" s="450"/>
      <c r="C125" s="45" t="s">
        <v>95</v>
      </c>
      <c r="D125" s="8">
        <f>D121</f>
        <v>0</v>
      </c>
      <c r="E125" s="9">
        <f t="shared" ref="E125:J126" si="150">D125+E121</f>
        <v>0</v>
      </c>
      <c r="F125" s="9">
        <f t="shared" si="150"/>
        <v>0</v>
      </c>
      <c r="G125" s="9">
        <f t="shared" si="150"/>
        <v>0</v>
      </c>
      <c r="H125" s="9">
        <f t="shared" si="150"/>
        <v>0</v>
      </c>
      <c r="I125" s="9">
        <f t="shared" si="150"/>
        <v>0</v>
      </c>
      <c r="J125" s="9">
        <f t="shared" si="150"/>
        <v>0</v>
      </c>
      <c r="K125" s="9">
        <f t="shared" ref="K125:K126" si="151">J125+K121</f>
        <v>0</v>
      </c>
      <c r="L125" s="9">
        <f t="shared" ref="L125:L126" si="152">K125+L121</f>
        <v>0</v>
      </c>
      <c r="M125" s="9">
        <f t="shared" ref="M125:M126" si="153">L125+M121</f>
        <v>0</v>
      </c>
      <c r="N125" s="9">
        <f t="shared" ref="N125:O126" si="154">M125+N121</f>
        <v>0</v>
      </c>
      <c r="O125" s="222">
        <f t="shared" si="154"/>
        <v>0</v>
      </c>
    </row>
    <row r="126" spans="1:15" ht="15.75" thickBot="1" x14ac:dyDescent="0.3">
      <c r="A126" s="219"/>
      <c r="B126" s="451"/>
      <c r="C126" s="76" t="s">
        <v>70</v>
      </c>
      <c r="D126" s="24">
        <f>D122</f>
        <v>0</v>
      </c>
      <c r="E126" s="25">
        <f t="shared" si="150"/>
        <v>0</v>
      </c>
      <c r="F126" s="25">
        <f t="shared" si="150"/>
        <v>0</v>
      </c>
      <c r="G126" s="25">
        <f t="shared" si="150"/>
        <v>0</v>
      </c>
      <c r="H126" s="25">
        <f t="shared" si="150"/>
        <v>0</v>
      </c>
      <c r="I126" s="25">
        <f t="shared" si="150"/>
        <v>0</v>
      </c>
      <c r="J126" s="25">
        <f t="shared" si="150"/>
        <v>0</v>
      </c>
      <c r="K126" s="25">
        <f t="shared" si="151"/>
        <v>0</v>
      </c>
      <c r="L126" s="25">
        <f t="shared" si="152"/>
        <v>0</v>
      </c>
      <c r="M126" s="25">
        <f t="shared" si="153"/>
        <v>0</v>
      </c>
      <c r="N126" s="25">
        <f t="shared" si="154"/>
        <v>0</v>
      </c>
      <c r="O126" s="227">
        <f t="shared" si="154"/>
        <v>0</v>
      </c>
    </row>
    <row r="127" spans="1:15" x14ac:dyDescent="0.25">
      <c r="A127" s="471" t="s">
        <v>22</v>
      </c>
      <c r="B127" s="438" t="s">
        <v>29</v>
      </c>
      <c r="C127" s="176" t="s">
        <v>92</v>
      </c>
      <c r="D127" s="153"/>
      <c r="E127" s="154"/>
      <c r="F127" s="21"/>
      <c r="G127" s="21"/>
      <c r="H127" s="21"/>
      <c r="I127" s="21"/>
      <c r="J127" s="21"/>
      <c r="K127" s="40"/>
      <c r="L127" s="21"/>
      <c r="M127" s="21"/>
      <c r="N127" s="21"/>
      <c r="O127" s="223"/>
    </row>
    <row r="128" spans="1:15" ht="15.75" thickBot="1" x14ac:dyDescent="0.3">
      <c r="A128" s="472"/>
      <c r="B128" s="439"/>
      <c r="C128" s="177" t="s">
        <v>69</v>
      </c>
      <c r="D128" s="157"/>
      <c r="E128" s="158"/>
      <c r="F128" s="31"/>
      <c r="G128" s="31"/>
      <c r="H128" s="31"/>
      <c r="I128" s="78"/>
      <c r="J128" s="31"/>
      <c r="K128" s="48"/>
      <c r="L128" s="31"/>
      <c r="M128" s="31"/>
      <c r="N128" s="31"/>
      <c r="O128" s="229"/>
    </row>
    <row r="129" spans="1:15" x14ac:dyDescent="0.25">
      <c r="A129" s="219"/>
      <c r="B129" s="439"/>
      <c r="C129" s="45" t="s">
        <v>93</v>
      </c>
      <c r="D129" s="49" t="e">
        <f>(D127/D128)-1</f>
        <v>#DIV/0!</v>
      </c>
      <c r="E129" s="15" t="e">
        <f t="shared" ref="E129:J129" si="155">(E127/E128)-1</f>
        <v>#DIV/0!</v>
      </c>
      <c r="F129" s="15" t="e">
        <f t="shared" si="155"/>
        <v>#DIV/0!</v>
      </c>
      <c r="G129" s="15" t="e">
        <f t="shared" si="155"/>
        <v>#DIV/0!</v>
      </c>
      <c r="H129" s="15" t="e">
        <f t="shared" si="155"/>
        <v>#DIV/0!</v>
      </c>
      <c r="I129" s="15" t="e">
        <f t="shared" si="155"/>
        <v>#DIV/0!</v>
      </c>
      <c r="J129" s="15" t="e">
        <f t="shared" si="155"/>
        <v>#DIV/0!</v>
      </c>
      <c r="K129" s="16" t="e">
        <f>(K127/K128)-1</f>
        <v>#DIV/0!</v>
      </c>
      <c r="L129" s="15" t="e">
        <f t="shared" ref="L129:O129" si="156">(L127/L128)-1</f>
        <v>#DIV/0!</v>
      </c>
      <c r="M129" s="15" t="e">
        <f t="shared" si="156"/>
        <v>#DIV/0!</v>
      </c>
      <c r="N129" s="15" t="e">
        <f t="shared" si="156"/>
        <v>#DIV/0!</v>
      </c>
      <c r="O129" s="220" t="e">
        <f t="shared" si="156"/>
        <v>#DIV/0!</v>
      </c>
    </row>
    <row r="130" spans="1:15" x14ac:dyDescent="0.25">
      <c r="A130" s="219"/>
      <c r="B130" s="439"/>
      <c r="C130" s="47" t="s">
        <v>94</v>
      </c>
      <c r="D130" s="50" t="e">
        <f>(D131/D132)-1</f>
        <v>#DIV/0!</v>
      </c>
      <c r="E130" s="32" t="e">
        <f t="shared" ref="E130:J130" si="157">(E131/E132)-1</f>
        <v>#DIV/0!</v>
      </c>
      <c r="F130" s="32" t="e">
        <f t="shared" si="157"/>
        <v>#DIV/0!</v>
      </c>
      <c r="G130" s="32" t="e">
        <f t="shared" si="157"/>
        <v>#DIV/0!</v>
      </c>
      <c r="H130" s="32" t="e">
        <f t="shared" si="157"/>
        <v>#DIV/0!</v>
      </c>
      <c r="I130" s="32" t="e">
        <f t="shared" si="157"/>
        <v>#DIV/0!</v>
      </c>
      <c r="J130" s="32" t="e">
        <f t="shared" si="157"/>
        <v>#DIV/0!</v>
      </c>
      <c r="K130" s="33" t="e">
        <f>(K131/K132)-1</f>
        <v>#DIV/0!</v>
      </c>
      <c r="L130" s="32" t="e">
        <f t="shared" ref="L130:O130" si="158">(L131/L132)-1</f>
        <v>#DIV/0!</v>
      </c>
      <c r="M130" s="32" t="e">
        <f t="shared" si="158"/>
        <v>#DIV/0!</v>
      </c>
      <c r="N130" s="32" t="e">
        <f t="shared" si="158"/>
        <v>#DIV/0!</v>
      </c>
      <c r="O130" s="230" t="e">
        <f t="shared" si="158"/>
        <v>#DIV/0!</v>
      </c>
    </row>
    <row r="131" spans="1:15" x14ac:dyDescent="0.25">
      <c r="A131" s="219"/>
      <c r="B131" s="439"/>
      <c r="C131" s="45" t="s">
        <v>95</v>
      </c>
      <c r="D131" s="8">
        <f>D127</f>
        <v>0</v>
      </c>
      <c r="E131" s="9">
        <f t="shared" ref="E131:J132" si="159">D131+E127</f>
        <v>0</v>
      </c>
      <c r="F131" s="9">
        <f t="shared" si="159"/>
        <v>0</v>
      </c>
      <c r="G131" s="9">
        <f t="shared" si="159"/>
        <v>0</v>
      </c>
      <c r="H131" s="9">
        <f t="shared" si="159"/>
        <v>0</v>
      </c>
      <c r="I131" s="9">
        <f t="shared" si="159"/>
        <v>0</v>
      </c>
      <c r="J131" s="9">
        <f t="shared" si="159"/>
        <v>0</v>
      </c>
      <c r="K131" s="9">
        <f t="shared" ref="K131:K132" si="160">J131+K127</f>
        <v>0</v>
      </c>
      <c r="L131" s="9">
        <f t="shared" ref="L131:L132" si="161">K131+L127</f>
        <v>0</v>
      </c>
      <c r="M131" s="9">
        <f t="shared" ref="M131:M132" si="162">L131+M127</f>
        <v>0</v>
      </c>
      <c r="N131" s="9">
        <f t="shared" ref="N131:O132" si="163">M131+N127</f>
        <v>0</v>
      </c>
      <c r="O131" s="222">
        <f t="shared" si="163"/>
        <v>0</v>
      </c>
    </row>
    <row r="132" spans="1:15" ht="15.75" thickBot="1" x14ac:dyDescent="0.3">
      <c r="A132" s="219"/>
      <c r="B132" s="439"/>
      <c r="C132" s="51" t="s">
        <v>70</v>
      </c>
      <c r="D132" s="79">
        <f>D128</f>
        <v>0</v>
      </c>
      <c r="E132" s="80">
        <f t="shared" si="159"/>
        <v>0</v>
      </c>
      <c r="F132" s="80">
        <f t="shared" si="159"/>
        <v>0</v>
      </c>
      <c r="G132" s="80">
        <f t="shared" si="159"/>
        <v>0</v>
      </c>
      <c r="H132" s="80">
        <f t="shared" si="159"/>
        <v>0</v>
      </c>
      <c r="I132" s="80">
        <f t="shared" si="159"/>
        <v>0</v>
      </c>
      <c r="J132" s="80">
        <f t="shared" si="159"/>
        <v>0</v>
      </c>
      <c r="K132" s="80">
        <f t="shared" si="160"/>
        <v>0</v>
      </c>
      <c r="L132" s="80">
        <f t="shared" si="161"/>
        <v>0</v>
      </c>
      <c r="M132" s="80">
        <f t="shared" si="162"/>
        <v>0</v>
      </c>
      <c r="N132" s="80">
        <f t="shared" si="163"/>
        <v>0</v>
      </c>
      <c r="O132" s="231">
        <f t="shared" si="163"/>
        <v>0</v>
      </c>
    </row>
    <row r="133" spans="1:15" x14ac:dyDescent="0.25">
      <c r="A133" s="471" t="s">
        <v>22</v>
      </c>
      <c r="B133" s="473" t="s">
        <v>30</v>
      </c>
      <c r="C133" s="176" t="s">
        <v>92</v>
      </c>
      <c r="D133" s="72"/>
      <c r="E133" s="65"/>
      <c r="F133" s="65"/>
      <c r="G133" s="65"/>
      <c r="H133" s="65"/>
      <c r="I133" s="65"/>
      <c r="J133" s="21"/>
      <c r="K133" s="40"/>
      <c r="L133" s="21"/>
      <c r="M133" s="21"/>
      <c r="N133" s="21"/>
      <c r="O133" s="223"/>
    </row>
    <row r="134" spans="1:15" ht="15.75" thickBot="1" x14ac:dyDescent="0.3">
      <c r="A134" s="472"/>
      <c r="B134" s="465"/>
      <c r="C134" s="178" t="s">
        <v>69</v>
      </c>
      <c r="D134" s="81"/>
      <c r="E134" s="82"/>
      <c r="F134" s="82"/>
      <c r="G134" s="82"/>
      <c r="H134" s="82"/>
      <c r="I134" s="82"/>
      <c r="J134" s="42"/>
      <c r="K134" s="43"/>
      <c r="L134" s="42"/>
      <c r="M134" s="42"/>
      <c r="N134" s="42"/>
      <c r="O134" s="218"/>
    </row>
    <row r="135" spans="1:15" x14ac:dyDescent="0.25">
      <c r="A135" s="219"/>
      <c r="B135" s="465"/>
      <c r="C135" s="45" t="s">
        <v>93</v>
      </c>
      <c r="D135" s="83" t="e">
        <f>(D133/D134)-1</f>
        <v>#DIV/0!</v>
      </c>
      <c r="E135" s="84" t="e">
        <f t="shared" ref="E135:J135" si="164">(E133/E134)-1</f>
        <v>#DIV/0!</v>
      </c>
      <c r="F135" s="84" t="e">
        <f t="shared" si="164"/>
        <v>#DIV/0!</v>
      </c>
      <c r="G135" s="84" t="e">
        <f t="shared" si="164"/>
        <v>#DIV/0!</v>
      </c>
      <c r="H135" s="84" t="e">
        <f t="shared" si="164"/>
        <v>#DIV/0!</v>
      </c>
      <c r="I135" s="84" t="e">
        <f t="shared" si="164"/>
        <v>#DIV/0!</v>
      </c>
      <c r="J135" s="84" t="e">
        <f t="shared" si="164"/>
        <v>#DIV/0!</v>
      </c>
      <c r="K135" s="16" t="e">
        <f>(K133/K134)-1</f>
        <v>#DIV/0!</v>
      </c>
      <c r="L135" s="15" t="e">
        <f t="shared" ref="L135:O135" si="165">(L133/L134)-1</f>
        <v>#DIV/0!</v>
      </c>
      <c r="M135" s="15" t="e">
        <f t="shared" si="165"/>
        <v>#DIV/0!</v>
      </c>
      <c r="N135" s="15" t="e">
        <f t="shared" si="165"/>
        <v>#DIV/0!</v>
      </c>
      <c r="O135" s="220" t="e">
        <f t="shared" si="165"/>
        <v>#DIV/0!</v>
      </c>
    </row>
    <row r="136" spans="1:15" x14ac:dyDescent="0.25">
      <c r="A136" s="219"/>
      <c r="B136" s="465"/>
      <c r="C136" s="58" t="s">
        <v>94</v>
      </c>
      <c r="D136" s="85" t="e">
        <f>(D137/D138)-1</f>
        <v>#DIV/0!</v>
      </c>
      <c r="E136" s="86" t="e">
        <f t="shared" ref="E136:J136" si="166">(E137/E138)-1</f>
        <v>#DIV/0!</v>
      </c>
      <c r="F136" s="86" t="e">
        <f t="shared" si="166"/>
        <v>#DIV/0!</v>
      </c>
      <c r="G136" s="86" t="e">
        <f t="shared" si="166"/>
        <v>#DIV/0!</v>
      </c>
      <c r="H136" s="86" t="e">
        <f t="shared" si="166"/>
        <v>#DIV/0!</v>
      </c>
      <c r="I136" s="86" t="e">
        <f t="shared" si="166"/>
        <v>#DIV/0!</v>
      </c>
      <c r="J136" s="86" t="e">
        <f t="shared" si="166"/>
        <v>#DIV/0!</v>
      </c>
      <c r="K136" s="62" t="e">
        <f>(K137/K138)-1</f>
        <v>#DIV/0!</v>
      </c>
      <c r="L136" s="61" t="e">
        <f t="shared" ref="L136:O136" si="167">(L137/L138)-1</f>
        <v>#DIV/0!</v>
      </c>
      <c r="M136" s="61" t="e">
        <f t="shared" si="167"/>
        <v>#DIV/0!</v>
      </c>
      <c r="N136" s="61" t="e">
        <f t="shared" si="167"/>
        <v>#DIV/0!</v>
      </c>
      <c r="O136" s="221" t="e">
        <f t="shared" si="167"/>
        <v>#DIV/0!</v>
      </c>
    </row>
    <row r="137" spans="1:15" x14ac:dyDescent="0.25">
      <c r="A137" s="219"/>
      <c r="B137" s="465"/>
      <c r="C137" s="45" t="s">
        <v>95</v>
      </c>
      <c r="D137" s="8">
        <f>D133</f>
        <v>0</v>
      </c>
      <c r="E137" s="9">
        <f>D137+E133</f>
        <v>0</v>
      </c>
      <c r="F137" s="9">
        <f>E137+F133</f>
        <v>0</v>
      </c>
      <c r="G137" s="9">
        <f t="shared" ref="G137:J138" si="168">F137+G133</f>
        <v>0</v>
      </c>
      <c r="H137" s="9">
        <f t="shared" si="168"/>
        <v>0</v>
      </c>
      <c r="I137" s="9">
        <f t="shared" si="168"/>
        <v>0</v>
      </c>
      <c r="J137" s="9">
        <f t="shared" si="168"/>
        <v>0</v>
      </c>
      <c r="K137" s="9">
        <f>J137+K133</f>
        <v>0</v>
      </c>
      <c r="L137" s="9">
        <f t="shared" ref="L137:O138" si="169">K137+L133</f>
        <v>0</v>
      </c>
      <c r="M137" s="9">
        <f t="shared" si="169"/>
        <v>0</v>
      </c>
      <c r="N137" s="9">
        <f t="shared" si="169"/>
        <v>0</v>
      </c>
      <c r="O137" s="222">
        <f t="shared" si="169"/>
        <v>0</v>
      </c>
    </row>
    <row r="138" spans="1:15" ht="15.75" thickBot="1" x14ac:dyDescent="0.3">
      <c r="A138" s="219"/>
      <c r="B138" s="466"/>
      <c r="C138" s="63" t="s">
        <v>70</v>
      </c>
      <c r="D138" s="41">
        <f>D134</f>
        <v>0</v>
      </c>
      <c r="E138" s="42">
        <f>D138+E134</f>
        <v>0</v>
      </c>
      <c r="F138" s="42">
        <f t="shared" ref="F138:I138" si="170">E138+F134</f>
        <v>0</v>
      </c>
      <c r="G138" s="42">
        <f t="shared" si="170"/>
        <v>0</v>
      </c>
      <c r="H138" s="42">
        <f t="shared" si="170"/>
        <v>0</v>
      </c>
      <c r="I138" s="87">
        <f t="shared" si="170"/>
        <v>0</v>
      </c>
      <c r="J138" s="87">
        <f t="shared" si="168"/>
        <v>0</v>
      </c>
      <c r="K138" s="87">
        <f>J138+K134</f>
        <v>0</v>
      </c>
      <c r="L138" s="87">
        <f t="shared" si="169"/>
        <v>0</v>
      </c>
      <c r="M138" s="87">
        <f t="shared" si="169"/>
        <v>0</v>
      </c>
      <c r="N138" s="87">
        <f t="shared" si="169"/>
        <v>0</v>
      </c>
      <c r="O138" s="232">
        <f t="shared" si="169"/>
        <v>0</v>
      </c>
    </row>
    <row r="139" spans="1:15" x14ac:dyDescent="0.25">
      <c r="A139" s="471" t="s">
        <v>22</v>
      </c>
      <c r="B139" s="446" t="s">
        <v>31</v>
      </c>
      <c r="C139" s="176" t="s">
        <v>92</v>
      </c>
      <c r="D139" s="20"/>
      <c r="E139" s="21"/>
      <c r="F139" s="21"/>
      <c r="G139" s="21"/>
      <c r="H139" s="21"/>
      <c r="I139" s="65"/>
      <c r="J139" s="21"/>
      <c r="K139" s="65"/>
      <c r="L139" s="21"/>
      <c r="M139" s="21"/>
      <c r="N139" s="21"/>
      <c r="O139" s="223"/>
    </row>
    <row r="140" spans="1:15" ht="15.75" thickBot="1" x14ac:dyDescent="0.3">
      <c r="A140" s="472"/>
      <c r="B140" s="447"/>
      <c r="C140" s="179" t="s">
        <v>69</v>
      </c>
      <c r="D140" s="11"/>
      <c r="E140" s="12"/>
      <c r="F140" s="12"/>
      <c r="G140" s="12"/>
      <c r="H140" s="12"/>
      <c r="I140" s="67"/>
      <c r="J140" s="12"/>
      <c r="K140" s="67"/>
      <c r="L140" s="12"/>
      <c r="M140" s="12"/>
      <c r="N140" s="12"/>
      <c r="O140" s="224"/>
    </row>
    <row r="141" spans="1:15" x14ac:dyDescent="0.25">
      <c r="A141" s="219"/>
      <c r="B141" s="447"/>
      <c r="C141" s="45" t="s">
        <v>93</v>
      </c>
      <c r="D141" s="49" t="e">
        <f>(D139/D140)-1</f>
        <v>#DIV/0!</v>
      </c>
      <c r="E141" s="15" t="e">
        <f t="shared" ref="E141:J141" si="171">(E139/E140)-1</f>
        <v>#DIV/0!</v>
      </c>
      <c r="F141" s="15" t="e">
        <f t="shared" si="171"/>
        <v>#DIV/0!</v>
      </c>
      <c r="G141" s="15" t="e">
        <f t="shared" si="171"/>
        <v>#DIV/0!</v>
      </c>
      <c r="H141" s="15" t="e">
        <f t="shared" si="171"/>
        <v>#DIV/0!</v>
      </c>
      <c r="I141" s="15" t="e">
        <f t="shared" si="171"/>
        <v>#DIV/0!</v>
      </c>
      <c r="J141" s="15" t="e">
        <f t="shared" si="171"/>
        <v>#DIV/0!</v>
      </c>
      <c r="K141" s="16" t="e">
        <f>(K139/K140)-1</f>
        <v>#DIV/0!</v>
      </c>
      <c r="L141" s="15" t="e">
        <f t="shared" ref="L141:O141" si="172">(L139/L140)-1</f>
        <v>#DIV/0!</v>
      </c>
      <c r="M141" s="15" t="e">
        <f t="shared" si="172"/>
        <v>#DIV/0!</v>
      </c>
      <c r="N141" s="15" t="e">
        <f t="shared" si="172"/>
        <v>#DIV/0!</v>
      </c>
      <c r="O141" s="220" t="e">
        <f t="shared" si="172"/>
        <v>#DIV/0!</v>
      </c>
    </row>
    <row r="142" spans="1:15" x14ac:dyDescent="0.25">
      <c r="A142" s="219"/>
      <c r="B142" s="447"/>
      <c r="C142" s="66" t="s">
        <v>94</v>
      </c>
      <c r="D142" s="68" t="e">
        <f>(D143/D144)-1</f>
        <v>#DIV/0!</v>
      </c>
      <c r="E142" s="17" t="e">
        <f t="shared" ref="E142:J142" si="173">(E143/E144)-1</f>
        <v>#DIV/0!</v>
      </c>
      <c r="F142" s="17" t="e">
        <f t="shared" si="173"/>
        <v>#DIV/0!</v>
      </c>
      <c r="G142" s="17" t="e">
        <f t="shared" si="173"/>
        <v>#DIV/0!</v>
      </c>
      <c r="H142" s="17" t="e">
        <f t="shared" si="173"/>
        <v>#DIV/0!</v>
      </c>
      <c r="I142" s="17" t="e">
        <f t="shared" si="173"/>
        <v>#DIV/0!</v>
      </c>
      <c r="J142" s="17" t="e">
        <f t="shared" si="173"/>
        <v>#DIV/0!</v>
      </c>
      <c r="K142" s="18" t="e">
        <f>(K143/K144)-1</f>
        <v>#DIV/0!</v>
      </c>
      <c r="L142" s="17" t="e">
        <f t="shared" ref="L142:O142" si="174">(L143/L144)-1</f>
        <v>#DIV/0!</v>
      </c>
      <c r="M142" s="17" t="e">
        <f t="shared" si="174"/>
        <v>#DIV/0!</v>
      </c>
      <c r="N142" s="17" t="e">
        <f t="shared" si="174"/>
        <v>#DIV/0!</v>
      </c>
      <c r="O142" s="225" t="e">
        <f t="shared" si="174"/>
        <v>#DIV/0!</v>
      </c>
    </row>
    <row r="143" spans="1:15" x14ac:dyDescent="0.25">
      <c r="A143" s="219"/>
      <c r="B143" s="447"/>
      <c r="C143" s="45" t="s">
        <v>95</v>
      </c>
      <c r="D143" s="8">
        <f>D139</f>
        <v>0</v>
      </c>
      <c r="E143" s="9">
        <f t="shared" ref="E143:J144" si="175">D143+E139</f>
        <v>0</v>
      </c>
      <c r="F143" s="9">
        <f t="shared" si="175"/>
        <v>0</v>
      </c>
      <c r="G143" s="9">
        <f t="shared" si="175"/>
        <v>0</v>
      </c>
      <c r="H143" s="9">
        <f t="shared" si="175"/>
        <v>0</v>
      </c>
      <c r="I143" s="9">
        <f t="shared" si="175"/>
        <v>0</v>
      </c>
      <c r="J143" s="9">
        <f t="shared" si="175"/>
        <v>0</v>
      </c>
      <c r="K143" s="9">
        <f t="shared" ref="K143:K144" si="176">J143+K139</f>
        <v>0</v>
      </c>
      <c r="L143" s="9">
        <f t="shared" ref="L143:L144" si="177">K143+L139</f>
        <v>0</v>
      </c>
      <c r="M143" s="9">
        <f t="shared" ref="M143:M144" si="178">L143+M139</f>
        <v>0</v>
      </c>
      <c r="N143" s="9">
        <f t="shared" ref="N143:N144" si="179">M143+N139</f>
        <v>0</v>
      </c>
      <c r="O143" s="222">
        <f t="shared" ref="O143:O144" si="180">N143+O139</f>
        <v>0</v>
      </c>
    </row>
    <row r="144" spans="1:15" ht="15.75" thickBot="1" x14ac:dyDescent="0.3">
      <c r="A144" s="219"/>
      <c r="B144" s="448"/>
      <c r="C144" s="69" t="s">
        <v>70</v>
      </c>
      <c r="D144" s="70">
        <f>D140</f>
        <v>0</v>
      </c>
      <c r="E144" s="71">
        <f t="shared" si="175"/>
        <v>0</v>
      </c>
      <c r="F144" s="71">
        <f t="shared" si="175"/>
        <v>0</v>
      </c>
      <c r="G144" s="71">
        <f t="shared" si="175"/>
        <v>0</v>
      </c>
      <c r="H144" s="71">
        <f t="shared" si="175"/>
        <v>0</v>
      </c>
      <c r="I144" s="71">
        <f t="shared" si="175"/>
        <v>0</v>
      </c>
      <c r="J144" s="71">
        <f t="shared" si="175"/>
        <v>0</v>
      </c>
      <c r="K144" s="71">
        <f t="shared" si="176"/>
        <v>0</v>
      </c>
      <c r="L144" s="71">
        <f t="shared" si="177"/>
        <v>0</v>
      </c>
      <c r="M144" s="71">
        <f t="shared" si="178"/>
        <v>0</v>
      </c>
      <c r="N144" s="71">
        <f t="shared" si="179"/>
        <v>0</v>
      </c>
      <c r="O144" s="226">
        <f t="shared" si="180"/>
        <v>0</v>
      </c>
    </row>
    <row r="145" spans="1:16" x14ac:dyDescent="0.25">
      <c r="A145" s="471" t="s">
        <v>22</v>
      </c>
      <c r="B145" s="449" t="s">
        <v>32</v>
      </c>
      <c r="C145" s="176" t="s">
        <v>92</v>
      </c>
      <c r="D145" s="159"/>
      <c r="E145" s="160"/>
      <c r="F145" s="65"/>
      <c r="G145" s="65"/>
      <c r="H145" s="65"/>
      <c r="I145" s="65"/>
      <c r="J145" s="21"/>
      <c r="K145" s="21"/>
      <c r="L145" s="21"/>
      <c r="M145" s="21"/>
      <c r="N145" s="21"/>
      <c r="O145" s="223"/>
    </row>
    <row r="146" spans="1:16" ht="15.75" thickBot="1" x14ac:dyDescent="0.3">
      <c r="A146" s="472"/>
      <c r="B146" s="450"/>
      <c r="C146" s="180" t="s">
        <v>69</v>
      </c>
      <c r="D146" s="163"/>
      <c r="E146" s="164"/>
      <c r="F146" s="74"/>
      <c r="G146" s="74"/>
      <c r="H146" s="74"/>
      <c r="I146" s="74"/>
      <c r="J146" s="25"/>
      <c r="K146" s="25"/>
      <c r="L146" s="25"/>
      <c r="M146" s="25"/>
      <c r="N146" s="25"/>
      <c r="O146" s="227"/>
    </row>
    <row r="147" spans="1:16" x14ac:dyDescent="0.25">
      <c r="A147" s="219"/>
      <c r="B147" s="450"/>
      <c r="C147" s="45" t="s">
        <v>93</v>
      </c>
      <c r="D147" s="49" t="e">
        <f>(D145/D146)-1</f>
        <v>#DIV/0!</v>
      </c>
      <c r="E147" s="15" t="e">
        <f t="shared" ref="E147:J147" si="181">(E145/E146)-1</f>
        <v>#DIV/0!</v>
      </c>
      <c r="F147" s="15" t="e">
        <f t="shared" si="181"/>
        <v>#DIV/0!</v>
      </c>
      <c r="G147" s="15" t="e">
        <f t="shared" si="181"/>
        <v>#DIV/0!</v>
      </c>
      <c r="H147" s="15" t="e">
        <f t="shared" si="181"/>
        <v>#DIV/0!</v>
      </c>
      <c r="I147" s="15" t="e">
        <f t="shared" si="181"/>
        <v>#DIV/0!</v>
      </c>
      <c r="J147" s="15" t="e">
        <f t="shared" si="181"/>
        <v>#DIV/0!</v>
      </c>
      <c r="K147" s="16" t="e">
        <f>(K145/K146)-1</f>
        <v>#DIV/0!</v>
      </c>
      <c r="L147" s="15" t="e">
        <f t="shared" ref="L147:O147" si="182">(L145/L146)-1</f>
        <v>#DIV/0!</v>
      </c>
      <c r="M147" s="15" t="e">
        <f t="shared" si="182"/>
        <v>#DIV/0!</v>
      </c>
      <c r="N147" s="15" t="e">
        <f t="shared" si="182"/>
        <v>#DIV/0!</v>
      </c>
      <c r="O147" s="220" t="e">
        <f t="shared" si="182"/>
        <v>#DIV/0!</v>
      </c>
    </row>
    <row r="148" spans="1:16" x14ac:dyDescent="0.25">
      <c r="A148" s="219"/>
      <c r="B148" s="450"/>
      <c r="C148" s="73" t="s">
        <v>94</v>
      </c>
      <c r="D148" s="75" t="e">
        <f>(D149/D150)-1</f>
        <v>#DIV/0!</v>
      </c>
      <c r="E148" s="27" t="e">
        <f t="shared" ref="E148:J148" si="183">(E149/E150)-1</f>
        <v>#DIV/0!</v>
      </c>
      <c r="F148" s="27" t="e">
        <f t="shared" si="183"/>
        <v>#DIV/0!</v>
      </c>
      <c r="G148" s="27" t="e">
        <f t="shared" si="183"/>
        <v>#DIV/0!</v>
      </c>
      <c r="H148" s="27" t="e">
        <f t="shared" si="183"/>
        <v>#DIV/0!</v>
      </c>
      <c r="I148" s="27" t="e">
        <f t="shared" si="183"/>
        <v>#DIV/0!</v>
      </c>
      <c r="J148" s="27" t="e">
        <f t="shared" si="183"/>
        <v>#DIV/0!</v>
      </c>
      <c r="K148" s="28" t="e">
        <f>(K149/K150)-1</f>
        <v>#DIV/0!</v>
      </c>
      <c r="L148" s="27" t="e">
        <f t="shared" ref="L148:O148" si="184">(L149/L150)-1</f>
        <v>#DIV/0!</v>
      </c>
      <c r="M148" s="27" t="e">
        <f t="shared" si="184"/>
        <v>#DIV/0!</v>
      </c>
      <c r="N148" s="27" t="e">
        <f t="shared" si="184"/>
        <v>#DIV/0!</v>
      </c>
      <c r="O148" s="228" t="e">
        <f t="shared" si="184"/>
        <v>#DIV/0!</v>
      </c>
    </row>
    <row r="149" spans="1:16" x14ac:dyDescent="0.25">
      <c r="A149" s="219"/>
      <c r="B149" s="450"/>
      <c r="C149" s="45" t="s">
        <v>95</v>
      </c>
      <c r="D149" s="8">
        <f>D145</f>
        <v>0</v>
      </c>
      <c r="E149" s="9">
        <f>D149+E145</f>
        <v>0</v>
      </c>
      <c r="F149" s="9">
        <f>E149+F145</f>
        <v>0</v>
      </c>
      <c r="G149" s="9">
        <f t="shared" ref="G149:J150" si="185">F149+G145</f>
        <v>0</v>
      </c>
      <c r="H149" s="9">
        <f t="shared" si="185"/>
        <v>0</v>
      </c>
      <c r="I149" s="9">
        <f t="shared" si="185"/>
        <v>0</v>
      </c>
      <c r="J149" s="9">
        <f t="shared" si="185"/>
        <v>0</v>
      </c>
      <c r="K149" s="9">
        <f t="shared" ref="K149:K150" si="186">J149+K145</f>
        <v>0</v>
      </c>
      <c r="L149" s="9">
        <f t="shared" ref="L149:L150" si="187">K149+L145</f>
        <v>0</v>
      </c>
      <c r="M149" s="9">
        <f t="shared" ref="M149:M150" si="188">L149+M145</f>
        <v>0</v>
      </c>
      <c r="N149" s="9">
        <f t="shared" ref="N149:N150" si="189">M149+N145</f>
        <v>0</v>
      </c>
      <c r="O149" s="222">
        <f t="shared" ref="O149:O150" si="190">N149+O145</f>
        <v>0</v>
      </c>
    </row>
    <row r="150" spans="1:16" ht="15.75" thickBot="1" x14ac:dyDescent="0.3">
      <c r="A150" s="219"/>
      <c r="B150" s="451"/>
      <c r="C150" s="76" t="s">
        <v>70</v>
      </c>
      <c r="D150" s="88">
        <f>D146</f>
        <v>0</v>
      </c>
      <c r="E150" s="77">
        <f>D150+E146</f>
        <v>0</v>
      </c>
      <c r="F150" s="77">
        <f t="shared" ref="F150:I150" si="191">E150+F146</f>
        <v>0</v>
      </c>
      <c r="G150" s="77">
        <f t="shared" si="191"/>
        <v>0</v>
      </c>
      <c r="H150" s="77">
        <f t="shared" si="191"/>
        <v>0</v>
      </c>
      <c r="I150" s="77">
        <f t="shared" si="191"/>
        <v>0</v>
      </c>
      <c r="J150" s="77">
        <f t="shared" si="185"/>
        <v>0</v>
      </c>
      <c r="K150" s="77">
        <f t="shared" si="186"/>
        <v>0</v>
      </c>
      <c r="L150" s="77">
        <f t="shared" si="187"/>
        <v>0</v>
      </c>
      <c r="M150" s="77">
        <f t="shared" si="188"/>
        <v>0</v>
      </c>
      <c r="N150" s="77">
        <f t="shared" si="189"/>
        <v>0</v>
      </c>
      <c r="O150" s="233">
        <f t="shared" si="190"/>
        <v>0</v>
      </c>
    </row>
    <row r="151" spans="1:16" ht="26.25" customHeight="1" x14ac:dyDescent="0.25">
      <c r="A151" s="219"/>
      <c r="B151" s="460" t="s">
        <v>33</v>
      </c>
      <c r="C151" s="89" t="s">
        <v>34</v>
      </c>
      <c r="D151" s="90">
        <f>D109/(D25+D13)</f>
        <v>0</v>
      </c>
      <c r="E151" s="90">
        <f t="shared" ref="E151:O151" si="192">E109/(E25+E13)</f>
        <v>0</v>
      </c>
      <c r="F151" s="90">
        <f t="shared" si="192"/>
        <v>0</v>
      </c>
      <c r="G151" s="90">
        <f t="shared" si="192"/>
        <v>0</v>
      </c>
      <c r="H151" s="90">
        <f t="shared" si="192"/>
        <v>0</v>
      </c>
      <c r="I151" s="90">
        <f t="shared" si="192"/>
        <v>0</v>
      </c>
      <c r="J151" s="90">
        <f t="shared" si="192"/>
        <v>0</v>
      </c>
      <c r="K151" s="90">
        <f t="shared" si="192"/>
        <v>0</v>
      </c>
      <c r="L151" s="90">
        <f t="shared" si="192"/>
        <v>0</v>
      </c>
      <c r="M151" s="90">
        <f t="shared" si="192"/>
        <v>0</v>
      </c>
      <c r="N151" s="90">
        <f t="shared" si="192"/>
        <v>0</v>
      </c>
      <c r="O151" s="90">
        <f t="shared" si="192"/>
        <v>0</v>
      </c>
    </row>
    <row r="152" spans="1:16" ht="26.25" customHeight="1" x14ac:dyDescent="0.25">
      <c r="A152" s="219"/>
      <c r="B152" s="461"/>
      <c r="C152" s="91" t="s">
        <v>35</v>
      </c>
      <c r="D152" s="92" t="e">
        <f>+D115/D109</f>
        <v>#DIV/0!</v>
      </c>
      <c r="E152" s="92" t="e">
        <f t="shared" ref="E152:O152" si="193">+E115/E109</f>
        <v>#DIV/0!</v>
      </c>
      <c r="F152" s="92" t="e">
        <f t="shared" si="193"/>
        <v>#DIV/0!</v>
      </c>
      <c r="G152" s="92" t="e">
        <f t="shared" si="193"/>
        <v>#DIV/0!</v>
      </c>
      <c r="H152" s="92" t="e">
        <f t="shared" si="193"/>
        <v>#DIV/0!</v>
      </c>
      <c r="I152" s="92" t="e">
        <f t="shared" si="193"/>
        <v>#DIV/0!</v>
      </c>
      <c r="J152" s="92" t="e">
        <f t="shared" si="193"/>
        <v>#DIV/0!</v>
      </c>
      <c r="K152" s="92" t="e">
        <f t="shared" si="193"/>
        <v>#DIV/0!</v>
      </c>
      <c r="L152" s="92" t="e">
        <f t="shared" si="193"/>
        <v>#DIV/0!</v>
      </c>
      <c r="M152" s="92" t="e">
        <f t="shared" si="193"/>
        <v>#DIV/0!</v>
      </c>
      <c r="N152" s="92" t="e">
        <f t="shared" si="193"/>
        <v>#DIV/0!</v>
      </c>
      <c r="O152" s="92" t="e">
        <f t="shared" si="193"/>
        <v>#DIV/0!</v>
      </c>
    </row>
    <row r="153" spans="1:16" ht="27" customHeight="1" thickBot="1" x14ac:dyDescent="0.3">
      <c r="A153" s="234"/>
      <c r="B153" s="474"/>
      <c r="C153" s="235" t="s">
        <v>315</v>
      </c>
      <c r="D153" s="236" t="e">
        <f>(D139+D145)/(D127+D133)</f>
        <v>#DIV/0!</v>
      </c>
      <c r="E153" s="236" t="e">
        <f t="shared" ref="E153:O153" si="194">(E139+E145)/(E127+E133)</f>
        <v>#DIV/0!</v>
      </c>
      <c r="F153" s="236" t="e">
        <f t="shared" si="194"/>
        <v>#DIV/0!</v>
      </c>
      <c r="G153" s="236" t="e">
        <f t="shared" si="194"/>
        <v>#DIV/0!</v>
      </c>
      <c r="H153" s="236" t="e">
        <f t="shared" si="194"/>
        <v>#DIV/0!</v>
      </c>
      <c r="I153" s="236" t="e">
        <f t="shared" si="194"/>
        <v>#DIV/0!</v>
      </c>
      <c r="J153" s="236" t="e">
        <f t="shared" si="194"/>
        <v>#DIV/0!</v>
      </c>
      <c r="K153" s="236" t="e">
        <f t="shared" si="194"/>
        <v>#DIV/0!</v>
      </c>
      <c r="L153" s="236" t="e">
        <f t="shared" si="194"/>
        <v>#DIV/0!</v>
      </c>
      <c r="M153" s="236" t="e">
        <f t="shared" si="194"/>
        <v>#DIV/0!</v>
      </c>
      <c r="N153" s="236" t="e">
        <f t="shared" si="194"/>
        <v>#DIV/0!</v>
      </c>
      <c r="O153" s="236" t="e">
        <f t="shared" si="194"/>
        <v>#DIV/0!</v>
      </c>
    </row>
    <row r="154" spans="1:16" ht="21" customHeight="1" thickTop="1" x14ac:dyDescent="0.25">
      <c r="A154" s="475" t="s">
        <v>22</v>
      </c>
      <c r="B154" s="476" t="s">
        <v>82</v>
      </c>
      <c r="C154" s="54" t="s">
        <v>285</v>
      </c>
      <c r="D154" s="8">
        <f>+PIGOO!B56</f>
        <v>21826</v>
      </c>
      <c r="E154" s="8">
        <f>+PIGOO!C56</f>
        <v>21832</v>
      </c>
      <c r="F154" s="8">
        <f>+PIGOO!D56</f>
        <v>24347</v>
      </c>
      <c r="G154" s="8">
        <f>+PIGOO!E56</f>
        <v>25568</v>
      </c>
      <c r="H154" s="8">
        <f>+PIGOO!F56</f>
        <v>27999</v>
      </c>
      <c r="I154" s="8">
        <f>+PIGOO!G56</f>
        <v>26626</v>
      </c>
      <c r="J154" s="8">
        <f>+PIGOO!H56</f>
        <v>26162</v>
      </c>
      <c r="K154" s="8">
        <f>+PIGOO!I56</f>
        <v>23051</v>
      </c>
      <c r="L154" s="8">
        <f>+PIGOO!J56</f>
        <v>21967</v>
      </c>
      <c r="M154" s="8">
        <f>+PIGOO!K56</f>
        <v>23869</v>
      </c>
      <c r="N154" s="8">
        <f>+PIGOO!L56</f>
        <v>23594</v>
      </c>
      <c r="O154" s="8">
        <f>+PIGOO!M56</f>
        <v>22265</v>
      </c>
      <c r="P154" s="381">
        <v>8</v>
      </c>
    </row>
    <row r="155" spans="1:16" ht="21" customHeight="1" thickBot="1" x14ac:dyDescent="0.3">
      <c r="A155" s="455"/>
      <c r="B155" s="476"/>
      <c r="C155" s="177" t="s">
        <v>286</v>
      </c>
      <c r="D155" s="30"/>
      <c r="E155" s="31"/>
      <c r="F155" s="31"/>
      <c r="G155" s="31"/>
      <c r="H155" s="31"/>
      <c r="I155" s="31"/>
      <c r="J155" s="31"/>
      <c r="K155" s="48"/>
      <c r="L155" s="31"/>
      <c r="M155" s="31"/>
      <c r="N155" s="31"/>
      <c r="O155" s="31"/>
    </row>
    <row r="156" spans="1:16" ht="21" customHeight="1" x14ac:dyDescent="0.25">
      <c r="B156" s="476"/>
      <c r="C156" s="45" t="s">
        <v>96</v>
      </c>
      <c r="D156" s="93">
        <f>D154</f>
        <v>21826</v>
      </c>
      <c r="E156" s="94">
        <f>D156+E154</f>
        <v>43658</v>
      </c>
      <c r="F156" s="94">
        <f t="shared" ref="F156" si="195">E156+F154</f>
        <v>68005</v>
      </c>
      <c r="G156" s="94">
        <f t="shared" ref="G156" si="196">F156+G154</f>
        <v>93573</v>
      </c>
      <c r="H156" s="94">
        <f t="shared" ref="H156" si="197">G156+H154</f>
        <v>121572</v>
      </c>
      <c r="I156" s="94">
        <f t="shared" ref="I156" si="198">H156+I154</f>
        <v>148198</v>
      </c>
      <c r="J156" s="94">
        <f t="shared" ref="J156" si="199">I156+J154</f>
        <v>174360</v>
      </c>
      <c r="K156" s="94">
        <f t="shared" ref="K156" si="200">J156+K154</f>
        <v>197411</v>
      </c>
      <c r="L156" s="94">
        <f t="shared" ref="L156" si="201">K156+L154</f>
        <v>219378</v>
      </c>
      <c r="M156" s="94">
        <f t="shared" ref="M156" si="202">L156+M154</f>
        <v>243247</v>
      </c>
      <c r="N156" s="94">
        <f t="shared" ref="N156" si="203">M156+N154</f>
        <v>266841</v>
      </c>
      <c r="O156" s="94">
        <f t="shared" ref="O156" si="204">N156+O154</f>
        <v>289106</v>
      </c>
    </row>
    <row r="157" spans="1:16" ht="21" customHeight="1" x14ac:dyDescent="0.25">
      <c r="B157" s="476"/>
      <c r="C157" s="47" t="s">
        <v>97</v>
      </c>
      <c r="D157" s="95">
        <f t="shared" ref="D157:I158" si="205">D154/D7</f>
        <v>0.90417995774472848</v>
      </c>
      <c r="E157" s="95">
        <f t="shared" si="205"/>
        <v>0.86261804101307837</v>
      </c>
      <c r="F157" s="95">
        <f t="shared" si="205"/>
        <v>0.80838701108971378</v>
      </c>
      <c r="G157" s="95">
        <f t="shared" si="205"/>
        <v>0.81754812304150415</v>
      </c>
      <c r="H157" s="95">
        <f t="shared" si="205"/>
        <v>0.85705102696746149</v>
      </c>
      <c r="I157" s="96">
        <f t="shared" si="205"/>
        <v>1.034903606965174</v>
      </c>
      <c r="J157" s="97">
        <f>J156/J11</f>
        <v>0.87914082589623355</v>
      </c>
      <c r="K157" s="97">
        <f t="shared" ref="K157:O158" si="206">K154/K7</f>
        <v>0.88801140303567305</v>
      </c>
      <c r="L157" s="95">
        <f t="shared" si="206"/>
        <v>0.87465657973322719</v>
      </c>
      <c r="M157" s="95">
        <f t="shared" si="206"/>
        <v>0.92633989211006329</v>
      </c>
      <c r="N157" s="95">
        <f t="shared" si="206"/>
        <v>0.955416076128771</v>
      </c>
      <c r="O157" s="95">
        <f t="shared" si="206"/>
        <v>0.93818472947918419</v>
      </c>
    </row>
    <row r="158" spans="1:16" ht="21" customHeight="1" thickBot="1" x14ac:dyDescent="0.3">
      <c r="B158" s="476"/>
      <c r="C158" s="45" t="s">
        <v>72</v>
      </c>
      <c r="D158" s="205" t="e">
        <f t="shared" si="205"/>
        <v>#DIV/0!</v>
      </c>
      <c r="E158" s="205" t="e">
        <f t="shared" si="205"/>
        <v>#DIV/0!</v>
      </c>
      <c r="F158" s="205" t="e">
        <f t="shared" si="205"/>
        <v>#DIV/0!</v>
      </c>
      <c r="G158" s="205" t="e">
        <f t="shared" si="205"/>
        <v>#DIV/0!</v>
      </c>
      <c r="H158" s="205" t="e">
        <f t="shared" si="205"/>
        <v>#DIV/0!</v>
      </c>
      <c r="I158" s="206" t="e">
        <f t="shared" si="205"/>
        <v>#DIV/0!</v>
      </c>
      <c r="J158" s="207" t="e">
        <f>J155/J8</f>
        <v>#DIV/0!</v>
      </c>
      <c r="K158" s="207" t="e">
        <f t="shared" si="206"/>
        <v>#DIV/0!</v>
      </c>
      <c r="L158" s="205" t="e">
        <f t="shared" si="206"/>
        <v>#DIV/0!</v>
      </c>
      <c r="M158" s="205" t="e">
        <f t="shared" si="206"/>
        <v>#DIV/0!</v>
      </c>
      <c r="N158" s="205" t="e">
        <f t="shared" si="206"/>
        <v>#DIV/0!</v>
      </c>
      <c r="O158" s="205" t="e">
        <f t="shared" si="206"/>
        <v>#DIV/0!</v>
      </c>
    </row>
    <row r="159" spans="1:16" ht="21" customHeight="1" x14ac:dyDescent="0.25">
      <c r="A159" s="479" t="s">
        <v>83</v>
      </c>
      <c r="B159" s="477"/>
      <c r="C159" s="388" t="s">
        <v>81</v>
      </c>
      <c r="D159" s="30">
        <f>+PIGOO!B51</f>
        <v>7184</v>
      </c>
      <c r="E159" s="30">
        <f>+PIGOO!C51</f>
        <v>6755</v>
      </c>
      <c r="F159" s="30">
        <f>+PIGOO!D51</f>
        <v>7992</v>
      </c>
      <c r="G159" s="30">
        <f>+PIGOO!E51</f>
        <v>8422</v>
      </c>
      <c r="H159" s="30">
        <f>+PIGOO!F51</f>
        <v>9672</v>
      </c>
      <c r="I159" s="30">
        <f>+PIGOO!G51</f>
        <v>9061</v>
      </c>
      <c r="J159" s="30">
        <f>+PIGOO!H51</f>
        <v>8435</v>
      </c>
      <c r="K159" s="30">
        <f>+PIGOO!I51</f>
        <v>7523</v>
      </c>
      <c r="L159" s="30">
        <f>+PIGOO!J51</f>
        <v>6656</v>
      </c>
      <c r="M159" s="30">
        <f>+PIGOO!K51</f>
        <v>6995</v>
      </c>
      <c r="N159" s="30">
        <f>+PIGOO!L51</f>
        <v>6809</v>
      </c>
      <c r="O159" s="30">
        <f>+PIGOO!M51</f>
        <v>6622</v>
      </c>
      <c r="P159" s="381">
        <v>9</v>
      </c>
    </row>
    <row r="160" spans="1:16" ht="21" customHeight="1" x14ac:dyDescent="0.25">
      <c r="A160" s="480"/>
      <c r="B160" s="477"/>
      <c r="C160" s="264" t="s">
        <v>121</v>
      </c>
      <c r="D160" s="376">
        <f>+D159/D7</f>
        <v>0.29760967728572019</v>
      </c>
      <c r="E160" s="376">
        <f t="shared" ref="E160:O160" si="207">+E159/E7</f>
        <v>0.26690110237464931</v>
      </c>
      <c r="F160" s="376">
        <f t="shared" si="207"/>
        <v>0.26535626535626533</v>
      </c>
      <c r="G160" s="376">
        <f t="shared" si="207"/>
        <v>0.26929717976593975</v>
      </c>
      <c r="H160" s="376">
        <f t="shared" si="207"/>
        <v>0.29606048547552727</v>
      </c>
      <c r="I160" s="376">
        <f t="shared" si="207"/>
        <v>0.35218439054726369</v>
      </c>
      <c r="J160" s="376">
        <f t="shared" si="207"/>
        <v>0.28993228611693533</v>
      </c>
      <c r="K160" s="376">
        <f t="shared" si="207"/>
        <v>0.28981431543262193</v>
      </c>
      <c r="L160" s="376">
        <f t="shared" si="207"/>
        <v>0.26502090384232529</v>
      </c>
      <c r="M160" s="376">
        <f t="shared" si="207"/>
        <v>0.27147126169131058</v>
      </c>
      <c r="N160" s="376">
        <f t="shared" si="207"/>
        <v>0.27572383073496659</v>
      </c>
      <c r="O160" s="376">
        <f t="shared" si="207"/>
        <v>0.27903252991741107</v>
      </c>
    </row>
    <row r="161" spans="1:16" ht="21" customHeight="1" thickBot="1" x14ac:dyDescent="0.3">
      <c r="A161" s="481"/>
      <c r="B161" s="478"/>
      <c r="C161" s="208" t="s">
        <v>84</v>
      </c>
      <c r="D161" s="237">
        <f>D154/D159</f>
        <v>3.0381403118040091</v>
      </c>
      <c r="E161" s="237">
        <f t="shared" ref="E161:O161" si="208">E154/E159</f>
        <v>3.2319763138415989</v>
      </c>
      <c r="F161" s="237">
        <f t="shared" si="208"/>
        <v>3.0464214214214214</v>
      </c>
      <c r="G161" s="237">
        <f t="shared" si="208"/>
        <v>3.0358584659225838</v>
      </c>
      <c r="H161" s="237">
        <f t="shared" si="208"/>
        <v>2.8948511166253104</v>
      </c>
      <c r="I161" s="237">
        <f t="shared" si="208"/>
        <v>2.9385277563182872</v>
      </c>
      <c r="J161" s="237">
        <f t="shared" si="208"/>
        <v>3.1016004742145822</v>
      </c>
      <c r="K161" s="237">
        <f t="shared" si="208"/>
        <v>3.0640701847667153</v>
      </c>
      <c r="L161" s="237">
        <f t="shared" si="208"/>
        <v>3.3003305288461537</v>
      </c>
      <c r="M161" s="237">
        <f t="shared" si="208"/>
        <v>3.4122944960686206</v>
      </c>
      <c r="N161" s="237">
        <f t="shared" si="208"/>
        <v>3.4651196945219565</v>
      </c>
      <c r="O161" s="237">
        <f t="shared" si="208"/>
        <v>3.3622772576260949</v>
      </c>
    </row>
    <row r="162" spans="1:16" ht="15" customHeight="1" x14ac:dyDescent="0.25">
      <c r="A162" s="469"/>
      <c r="B162" s="440" t="s">
        <v>36</v>
      </c>
      <c r="C162" s="389" t="s">
        <v>98</v>
      </c>
      <c r="D162" s="41">
        <f>+PIGOO!B106</f>
        <v>0</v>
      </c>
      <c r="E162" s="41">
        <f>+PIGOO!C106</f>
        <v>0</v>
      </c>
      <c r="F162" s="41">
        <f>+PIGOO!D106</f>
        <v>0</v>
      </c>
      <c r="G162" s="41">
        <f>+PIGOO!E106</f>
        <v>0</v>
      </c>
      <c r="H162" s="41">
        <f>+PIGOO!F106</f>
        <v>0</v>
      </c>
      <c r="I162" s="41">
        <f>+PIGOO!G106</f>
        <v>0</v>
      </c>
      <c r="J162" s="41">
        <f>+PIGOO!H106</f>
        <v>0</v>
      </c>
      <c r="K162" s="41">
        <f>+PIGOO!I106</f>
        <v>0</v>
      </c>
      <c r="L162" s="41">
        <f>+PIGOO!J106</f>
        <v>0</v>
      </c>
      <c r="M162" s="41">
        <f>+PIGOO!K106</f>
        <v>0</v>
      </c>
      <c r="N162" s="41">
        <f>+PIGOO!L106</f>
        <v>0</v>
      </c>
      <c r="O162" s="41">
        <f>+PIGOO!M106</f>
        <v>0</v>
      </c>
      <c r="P162" s="381">
        <v>10</v>
      </c>
    </row>
    <row r="163" spans="1:16" x14ac:dyDescent="0.25">
      <c r="A163" s="469"/>
      <c r="B163" s="441"/>
      <c r="C163" s="14" t="s">
        <v>99</v>
      </c>
      <c r="D163" s="8">
        <f>D162</f>
        <v>0</v>
      </c>
      <c r="E163" s="9">
        <f>D163+E162</f>
        <v>0</v>
      </c>
      <c r="F163" s="9">
        <f t="shared" ref="F163:J163" si="209">E163+F162</f>
        <v>0</v>
      </c>
      <c r="G163" s="9">
        <f t="shared" si="209"/>
        <v>0</v>
      </c>
      <c r="H163" s="9">
        <f t="shared" si="209"/>
        <v>0</v>
      </c>
      <c r="I163" s="9">
        <f t="shared" si="209"/>
        <v>0</v>
      </c>
      <c r="J163" s="9">
        <f t="shared" si="209"/>
        <v>0</v>
      </c>
      <c r="K163" s="9">
        <f>J163+K162</f>
        <v>0</v>
      </c>
      <c r="L163" s="9">
        <f t="shared" ref="L163:O163" si="210">K163+L162</f>
        <v>0</v>
      </c>
      <c r="M163" s="9">
        <f t="shared" si="210"/>
        <v>0</v>
      </c>
      <c r="N163" s="9">
        <f t="shared" si="210"/>
        <v>0</v>
      </c>
      <c r="O163" s="9">
        <f t="shared" si="210"/>
        <v>0</v>
      </c>
    </row>
    <row r="164" spans="1:16" ht="45" x14ac:dyDescent="0.25">
      <c r="A164" s="469"/>
      <c r="B164" s="441"/>
      <c r="C164" s="389" t="s">
        <v>100</v>
      </c>
      <c r="D164" s="41">
        <f>+PIGOO!B107</f>
        <v>0</v>
      </c>
      <c r="E164" s="41">
        <f>+PIGOO!C107</f>
        <v>0</v>
      </c>
      <c r="F164" s="41">
        <f>+PIGOO!D107</f>
        <v>0</v>
      </c>
      <c r="G164" s="41">
        <f>+PIGOO!E107</f>
        <v>0</v>
      </c>
      <c r="H164" s="41">
        <f>+PIGOO!F107</f>
        <v>0</v>
      </c>
      <c r="I164" s="41">
        <f>+PIGOO!G107</f>
        <v>0</v>
      </c>
      <c r="J164" s="41">
        <f>+PIGOO!H107</f>
        <v>0</v>
      </c>
      <c r="K164" s="41">
        <f>+PIGOO!I107</f>
        <v>0</v>
      </c>
      <c r="L164" s="41">
        <f>+PIGOO!J107</f>
        <v>0</v>
      </c>
      <c r="M164" s="41">
        <f>+PIGOO!K107</f>
        <v>0</v>
      </c>
      <c r="N164" s="41">
        <f>+PIGOO!L107</f>
        <v>0</v>
      </c>
      <c r="O164" s="41">
        <f>+PIGOO!M107</f>
        <v>0</v>
      </c>
      <c r="P164" s="381">
        <v>11</v>
      </c>
    </row>
    <row r="165" spans="1:16" ht="15.75" thickBot="1" x14ac:dyDescent="0.3">
      <c r="A165" s="469"/>
      <c r="B165" s="441"/>
      <c r="C165" s="14" t="s">
        <v>101</v>
      </c>
      <c r="D165" s="8">
        <f>D164</f>
        <v>0</v>
      </c>
      <c r="E165" s="9">
        <f>D165+E164</f>
        <v>0</v>
      </c>
      <c r="F165" s="9">
        <f t="shared" ref="F165:J165" si="211">E165+F164</f>
        <v>0</v>
      </c>
      <c r="G165" s="9">
        <f t="shared" si="211"/>
        <v>0</v>
      </c>
      <c r="H165" s="9">
        <f t="shared" si="211"/>
        <v>0</v>
      </c>
      <c r="I165" s="9">
        <f t="shared" si="211"/>
        <v>0</v>
      </c>
      <c r="J165" s="9">
        <f t="shared" si="211"/>
        <v>0</v>
      </c>
      <c r="K165" s="9">
        <f>J165+K164</f>
        <v>0</v>
      </c>
      <c r="L165" s="9">
        <f t="shared" ref="L165:O165" si="212">K165+L164</f>
        <v>0</v>
      </c>
      <c r="M165" s="9">
        <f t="shared" si="212"/>
        <v>0</v>
      </c>
      <c r="N165" s="9">
        <f t="shared" si="212"/>
        <v>0</v>
      </c>
      <c r="O165" s="9">
        <f t="shared" si="212"/>
        <v>0</v>
      </c>
    </row>
    <row r="166" spans="1:16" ht="21.75" thickBot="1" x14ac:dyDescent="0.3">
      <c r="A166" s="469"/>
      <c r="B166" s="441"/>
      <c r="C166" s="98" t="s">
        <v>37</v>
      </c>
      <c r="D166" s="99" t="e">
        <f t="shared" ref="D166:J166" si="213">D165/D163</f>
        <v>#DIV/0!</v>
      </c>
      <c r="E166" s="100" t="e">
        <f t="shared" si="213"/>
        <v>#DIV/0!</v>
      </c>
      <c r="F166" s="100" t="e">
        <f t="shared" si="213"/>
        <v>#DIV/0!</v>
      </c>
      <c r="G166" s="100" t="e">
        <f t="shared" si="213"/>
        <v>#DIV/0!</v>
      </c>
      <c r="H166" s="100" t="e">
        <f t="shared" si="213"/>
        <v>#DIV/0!</v>
      </c>
      <c r="I166" s="100" t="e">
        <f t="shared" si="213"/>
        <v>#DIV/0!</v>
      </c>
      <c r="J166" s="100" t="e">
        <f t="shared" si="213"/>
        <v>#DIV/0!</v>
      </c>
      <c r="K166" s="100" t="e">
        <f>K165/K163</f>
        <v>#DIV/0!</v>
      </c>
      <c r="L166" s="100" t="e">
        <f t="shared" ref="L166:O166" si="214">L165/L163</f>
        <v>#DIV/0!</v>
      </c>
      <c r="M166" s="100" t="e">
        <f t="shared" si="214"/>
        <v>#DIV/0!</v>
      </c>
      <c r="N166" s="100" t="e">
        <f t="shared" si="214"/>
        <v>#DIV/0!</v>
      </c>
      <c r="O166" s="100" t="e">
        <f t="shared" si="214"/>
        <v>#DIV/0!</v>
      </c>
    </row>
    <row r="167" spans="1:16" ht="30" x14ac:dyDescent="0.25">
      <c r="A167" s="469"/>
      <c r="B167" s="441"/>
      <c r="C167" s="374" t="s">
        <v>102</v>
      </c>
      <c r="D167" s="101">
        <f>+PIGOO!B108</f>
        <v>0</v>
      </c>
      <c r="E167" s="101">
        <f>+PIGOO!C108</f>
        <v>0</v>
      </c>
      <c r="F167" s="101">
        <f>+PIGOO!D108</f>
        <v>0</v>
      </c>
      <c r="G167" s="101">
        <f>+PIGOO!E108</f>
        <v>0</v>
      </c>
      <c r="H167" s="101">
        <f>+PIGOO!F108</f>
        <v>0</v>
      </c>
      <c r="I167" s="101">
        <f>+PIGOO!G108</f>
        <v>0</v>
      </c>
      <c r="J167" s="101">
        <f>+PIGOO!H108</f>
        <v>0</v>
      </c>
      <c r="K167" s="101">
        <f>+PIGOO!I108</f>
        <v>0</v>
      </c>
      <c r="L167" s="101">
        <f>+PIGOO!J108</f>
        <v>0</v>
      </c>
      <c r="M167" s="101">
        <f>+PIGOO!K108</f>
        <v>0</v>
      </c>
      <c r="N167" s="101">
        <f>+PIGOO!L108</f>
        <v>0</v>
      </c>
      <c r="O167" s="101">
        <f>+PIGOO!M108</f>
        <v>0</v>
      </c>
      <c r="P167" s="381">
        <v>12</v>
      </c>
    </row>
    <row r="168" spans="1:16" ht="30.75" thickBot="1" x14ac:dyDescent="0.3">
      <c r="A168" s="469"/>
      <c r="B168" s="441"/>
      <c r="C168" s="238" t="s">
        <v>103</v>
      </c>
      <c r="D168" s="87">
        <f>D167</f>
        <v>0</v>
      </c>
      <c r="E168" s="87">
        <f>D168+E167</f>
        <v>0</v>
      </c>
      <c r="F168" s="87">
        <f t="shared" ref="F168:M168" si="215">E168+F167</f>
        <v>0</v>
      </c>
      <c r="G168" s="87">
        <f t="shared" si="215"/>
        <v>0</v>
      </c>
      <c r="H168" s="87">
        <f t="shared" si="215"/>
        <v>0</v>
      </c>
      <c r="I168" s="87">
        <f t="shared" si="215"/>
        <v>0</v>
      </c>
      <c r="J168" s="87">
        <f t="shared" si="215"/>
        <v>0</v>
      </c>
      <c r="K168" s="87">
        <f t="shared" si="215"/>
        <v>0</v>
      </c>
      <c r="L168" s="87">
        <f t="shared" si="215"/>
        <v>0</v>
      </c>
      <c r="M168" s="87">
        <f t="shared" si="215"/>
        <v>0</v>
      </c>
      <c r="N168" s="87">
        <f t="shared" ref="N168" si="216">M168+N167</f>
        <v>0</v>
      </c>
      <c r="O168" s="87">
        <f t="shared" ref="O168" si="217">N168+O167</f>
        <v>0</v>
      </c>
    </row>
    <row r="169" spans="1:16" x14ac:dyDescent="0.25">
      <c r="A169" s="469"/>
      <c r="B169" s="441"/>
      <c r="C169" s="390" t="s">
        <v>38</v>
      </c>
      <c r="D169" s="24">
        <f>+PIGOO!B203</f>
        <v>1164</v>
      </c>
      <c r="E169" s="24">
        <f>+PIGOO!C203</f>
        <v>1164</v>
      </c>
      <c r="F169" s="24">
        <f>+PIGOO!D203</f>
        <v>1164</v>
      </c>
      <c r="G169" s="24">
        <f>+PIGOO!E203</f>
        <v>1169</v>
      </c>
      <c r="H169" s="24">
        <f>+PIGOO!F203</f>
        <v>1186</v>
      </c>
      <c r="I169" s="24">
        <f>+PIGOO!G203</f>
        <v>1186</v>
      </c>
      <c r="J169" s="24">
        <f>+PIGOO!H203</f>
        <v>1186</v>
      </c>
      <c r="K169" s="24">
        <f>+PIGOO!I203</f>
        <v>1186</v>
      </c>
      <c r="L169" s="24">
        <f>+PIGOO!J203</f>
        <v>1188</v>
      </c>
      <c r="M169" s="24">
        <f>+PIGOO!K203</f>
        <v>1188</v>
      </c>
      <c r="N169" s="24">
        <f>+PIGOO!L203</f>
        <v>1188</v>
      </c>
      <c r="O169" s="24">
        <f>+PIGOO!M203</f>
        <v>1188</v>
      </c>
      <c r="P169" s="381">
        <v>13</v>
      </c>
    </row>
    <row r="170" spans="1:16" x14ac:dyDescent="0.25">
      <c r="A170" s="469"/>
      <c r="B170" s="441"/>
      <c r="C170" s="102" t="s">
        <v>39</v>
      </c>
      <c r="D170" s="103">
        <f>+D169/D171</f>
        <v>0.98895497026338153</v>
      </c>
      <c r="E170" s="103">
        <f t="shared" ref="E170:J170" si="218">+E169/E171</f>
        <v>1.0777777777777777</v>
      </c>
      <c r="F170" s="103">
        <f t="shared" si="218"/>
        <v>1.0777777777777777</v>
      </c>
      <c r="G170" s="103">
        <f t="shared" si="218"/>
        <v>1.0824074074074075</v>
      </c>
      <c r="H170" s="103">
        <f t="shared" si="218"/>
        <v>1.0920810313075506</v>
      </c>
      <c r="I170" s="103">
        <f t="shared" si="218"/>
        <v>1.0910763569457222</v>
      </c>
      <c r="J170" s="103">
        <f t="shared" si="218"/>
        <v>1.0900735294117647</v>
      </c>
      <c r="K170" s="103">
        <f t="shared" ref="K170" si="219">+K169/K171</f>
        <v>1.0870760769935839</v>
      </c>
      <c r="L170" s="103">
        <f t="shared" ref="L170" si="220">+L169/L171</f>
        <v>1.0849315068493151</v>
      </c>
      <c r="M170" s="103">
        <f t="shared" ref="M170" si="221">+M169/M171</f>
        <v>1.0829535095715588</v>
      </c>
      <c r="N170" s="103">
        <f t="shared" ref="N170" si="222">+N169/N171</f>
        <v>1.0829535095715588</v>
      </c>
      <c r="O170" s="103">
        <f t="shared" ref="O170" si="223">+O169/O171</f>
        <v>1.083941605839416</v>
      </c>
    </row>
    <row r="171" spans="1:16" s="105" customFormat="1" ht="21" x14ac:dyDescent="0.25">
      <c r="A171" s="469"/>
      <c r="B171" s="441"/>
      <c r="C171" s="391" t="s">
        <v>40</v>
      </c>
      <c r="D171" s="104">
        <f>+PIGOO!B111</f>
        <v>1177</v>
      </c>
      <c r="E171" s="104">
        <f>+PIGOO!C111</f>
        <v>1080</v>
      </c>
      <c r="F171" s="104">
        <f>+PIGOO!D111</f>
        <v>1080</v>
      </c>
      <c r="G171" s="104">
        <f>+PIGOO!E111</f>
        <v>1080</v>
      </c>
      <c r="H171" s="104">
        <f>+PIGOO!F111</f>
        <v>1086</v>
      </c>
      <c r="I171" s="104">
        <f>+PIGOO!G111</f>
        <v>1087</v>
      </c>
      <c r="J171" s="104">
        <f>+PIGOO!H111</f>
        <v>1088</v>
      </c>
      <c r="K171" s="104">
        <f>+PIGOO!I111</f>
        <v>1091</v>
      </c>
      <c r="L171" s="104">
        <f>+PIGOO!J111</f>
        <v>1095</v>
      </c>
      <c r="M171" s="104">
        <f>+PIGOO!K111</f>
        <v>1097</v>
      </c>
      <c r="N171" s="104">
        <f>+PIGOO!L111</f>
        <v>1097</v>
      </c>
      <c r="O171" s="104">
        <f>+PIGOO!M111</f>
        <v>1096</v>
      </c>
      <c r="P171" s="382">
        <v>14</v>
      </c>
    </row>
    <row r="172" spans="1:16" x14ac:dyDescent="0.25">
      <c r="A172" s="469"/>
      <c r="B172" s="441"/>
      <c r="C172" s="181" t="s">
        <v>41</v>
      </c>
      <c r="D172" s="8">
        <v>258375</v>
      </c>
      <c r="E172" s="8">
        <v>259206.48</v>
      </c>
      <c r="F172" s="8">
        <v>259417.08000000002</v>
      </c>
      <c r="G172" s="8">
        <v>260167.44</v>
      </c>
      <c r="H172" s="9">
        <v>260555.88</v>
      </c>
      <c r="I172" s="9">
        <v>260860.08000000002</v>
      </c>
      <c r="J172" s="9">
        <v>261181.44</v>
      </c>
      <c r="K172" s="9">
        <v>261628.38</v>
      </c>
      <c r="L172" s="9">
        <v>261838.98</v>
      </c>
      <c r="M172" s="9">
        <v>261768</v>
      </c>
      <c r="N172" s="9">
        <v>262604.94</v>
      </c>
      <c r="O172" s="9">
        <v>262698.54000000004</v>
      </c>
    </row>
    <row r="173" spans="1:16" x14ac:dyDescent="0.25">
      <c r="A173" s="469"/>
      <c r="B173" s="441"/>
      <c r="C173" s="106" t="s">
        <v>42</v>
      </c>
      <c r="D173" s="75">
        <f>D172/D171</f>
        <v>219.51996601529311</v>
      </c>
      <c r="E173" s="75">
        <f t="shared" ref="E173:J173" si="224">E172/E171</f>
        <v>240.006</v>
      </c>
      <c r="F173" s="75">
        <f t="shared" si="224"/>
        <v>240.20100000000002</v>
      </c>
      <c r="G173" s="75">
        <f t="shared" si="224"/>
        <v>240.89577777777777</v>
      </c>
      <c r="H173" s="75">
        <f t="shared" si="224"/>
        <v>239.92254143646409</v>
      </c>
      <c r="I173" s="75">
        <f t="shared" si="224"/>
        <v>239.98167433302669</v>
      </c>
      <c r="J173" s="75">
        <f t="shared" si="224"/>
        <v>240.0564705882353</v>
      </c>
      <c r="K173" s="75">
        <f>K172/K171</f>
        <v>239.80603116406965</v>
      </c>
      <c r="L173" s="75">
        <f t="shared" ref="L173:O173" si="225">L172/L171</f>
        <v>239.12235616438358</v>
      </c>
      <c r="M173" s="75">
        <f t="shared" si="225"/>
        <v>238.62169553327257</v>
      </c>
      <c r="N173" s="75">
        <f t="shared" si="225"/>
        <v>239.38463081130357</v>
      </c>
      <c r="O173" s="75">
        <f t="shared" si="225"/>
        <v>239.68844890510951</v>
      </c>
    </row>
    <row r="174" spans="1:16" x14ac:dyDescent="0.25">
      <c r="A174" s="469"/>
      <c r="B174" s="441"/>
      <c r="C174" s="181" t="s">
        <v>43</v>
      </c>
      <c r="D174" s="8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6" x14ac:dyDescent="0.25">
      <c r="A175" s="469"/>
      <c r="B175" s="441"/>
      <c r="C175" s="106" t="s">
        <v>44</v>
      </c>
      <c r="D175" s="75">
        <f>D174/D171</f>
        <v>0</v>
      </c>
      <c r="E175" s="75">
        <f t="shared" ref="E175:J175" si="226">E174/E171</f>
        <v>0</v>
      </c>
      <c r="F175" s="75">
        <f t="shared" si="226"/>
        <v>0</v>
      </c>
      <c r="G175" s="75">
        <f t="shared" si="226"/>
        <v>0</v>
      </c>
      <c r="H175" s="75">
        <f t="shared" si="226"/>
        <v>0</v>
      </c>
      <c r="I175" s="75">
        <f t="shared" si="226"/>
        <v>0</v>
      </c>
      <c r="J175" s="75">
        <f t="shared" si="226"/>
        <v>0</v>
      </c>
      <c r="K175" s="75">
        <f>K174/K171</f>
        <v>0</v>
      </c>
      <c r="L175" s="75">
        <f t="shared" ref="L175:O175" si="227">L174/L171</f>
        <v>0</v>
      </c>
      <c r="M175" s="75">
        <f t="shared" si="227"/>
        <v>0</v>
      </c>
      <c r="N175" s="75">
        <f t="shared" si="227"/>
        <v>0</v>
      </c>
      <c r="O175" s="75">
        <f t="shared" si="227"/>
        <v>0</v>
      </c>
    </row>
    <row r="176" spans="1:16" ht="30" x14ac:dyDescent="0.25">
      <c r="A176" s="469"/>
      <c r="B176" s="441"/>
      <c r="C176" s="182" t="s">
        <v>45</v>
      </c>
      <c r="D176" s="8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6" ht="30" x14ac:dyDescent="0.25">
      <c r="A177" s="469"/>
      <c r="B177" s="441"/>
      <c r="C177" s="107" t="s">
        <v>46</v>
      </c>
      <c r="D177" s="75">
        <f>D176/D171</f>
        <v>0</v>
      </c>
      <c r="E177" s="75">
        <f t="shared" ref="E177:J177" si="228">E176/E171</f>
        <v>0</v>
      </c>
      <c r="F177" s="75">
        <f t="shared" si="228"/>
        <v>0</v>
      </c>
      <c r="G177" s="75">
        <f t="shared" si="228"/>
        <v>0</v>
      </c>
      <c r="H177" s="75">
        <f t="shared" si="228"/>
        <v>0</v>
      </c>
      <c r="I177" s="75">
        <f t="shared" si="228"/>
        <v>0</v>
      </c>
      <c r="J177" s="75">
        <f t="shared" si="228"/>
        <v>0</v>
      </c>
      <c r="K177" s="75">
        <f>K176/K171</f>
        <v>0</v>
      </c>
      <c r="L177" s="75">
        <f t="shared" ref="L177:O177" si="229">L176/L171</f>
        <v>0</v>
      </c>
      <c r="M177" s="75">
        <f t="shared" si="229"/>
        <v>0</v>
      </c>
      <c r="N177" s="75">
        <f t="shared" si="229"/>
        <v>0</v>
      </c>
      <c r="O177" s="75">
        <f t="shared" si="229"/>
        <v>0</v>
      </c>
    </row>
    <row r="178" spans="1:16" ht="30" x14ac:dyDescent="0.25">
      <c r="A178" s="469"/>
      <c r="B178" s="441"/>
      <c r="C178" s="182" t="s">
        <v>87</v>
      </c>
      <c r="D178" s="8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6" ht="30.75" thickBot="1" x14ac:dyDescent="0.3">
      <c r="A179" s="469"/>
      <c r="B179" s="441"/>
      <c r="C179" s="108" t="s">
        <v>47</v>
      </c>
      <c r="D179" s="109">
        <f t="shared" ref="D179:O179" si="230">D178/D171</f>
        <v>0</v>
      </c>
      <c r="E179" s="109">
        <f t="shared" si="230"/>
        <v>0</v>
      </c>
      <c r="F179" s="109">
        <f t="shared" si="230"/>
        <v>0</v>
      </c>
      <c r="G179" s="109">
        <f t="shared" si="230"/>
        <v>0</v>
      </c>
      <c r="H179" s="109">
        <f t="shared" si="230"/>
        <v>0</v>
      </c>
      <c r="I179" s="109">
        <f t="shared" si="230"/>
        <v>0</v>
      </c>
      <c r="J179" s="109">
        <f t="shared" si="230"/>
        <v>0</v>
      </c>
      <c r="K179" s="109">
        <f t="shared" si="230"/>
        <v>0</v>
      </c>
      <c r="L179" s="109">
        <f t="shared" si="230"/>
        <v>0</v>
      </c>
      <c r="M179" s="109">
        <f t="shared" si="230"/>
        <v>0</v>
      </c>
      <c r="N179" s="109">
        <f t="shared" si="230"/>
        <v>0</v>
      </c>
      <c r="O179" s="109">
        <f t="shared" si="230"/>
        <v>0</v>
      </c>
    </row>
    <row r="180" spans="1:16" x14ac:dyDescent="0.25">
      <c r="A180" s="469"/>
      <c r="B180" s="441"/>
      <c r="C180" s="392" t="s">
        <v>287</v>
      </c>
      <c r="D180" s="377">
        <f>+PIGOO!B158</f>
        <v>820</v>
      </c>
      <c r="E180" s="377">
        <f>+PIGOO!C158</f>
        <v>781</v>
      </c>
      <c r="F180" s="377">
        <f>+PIGOO!D158</f>
        <v>802</v>
      </c>
      <c r="G180" s="377">
        <f>+PIGOO!E158</f>
        <v>817</v>
      </c>
      <c r="H180" s="377">
        <f>+PIGOO!F158</f>
        <v>867</v>
      </c>
      <c r="I180" s="377">
        <f>+PIGOO!G158</f>
        <v>913</v>
      </c>
      <c r="J180" s="377">
        <f>+PIGOO!H158</f>
        <v>811</v>
      </c>
      <c r="K180" s="377">
        <f>+PIGOO!I158</f>
        <v>746</v>
      </c>
      <c r="L180" s="377">
        <f>+PIGOO!J158</f>
        <v>787</v>
      </c>
      <c r="M180" s="377">
        <f>+PIGOO!K158</f>
        <v>810</v>
      </c>
      <c r="N180" s="377">
        <f>+PIGOO!L158</f>
        <v>827</v>
      </c>
      <c r="O180" s="377">
        <f>+PIGOO!M158</f>
        <v>581</v>
      </c>
      <c r="P180" s="381">
        <v>15</v>
      </c>
    </row>
    <row r="181" spans="1:16" x14ac:dyDescent="0.25">
      <c r="A181" s="469"/>
      <c r="B181" s="441"/>
      <c r="C181" s="183" t="s">
        <v>288</v>
      </c>
      <c r="D181" s="209"/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</row>
    <row r="182" spans="1:16" ht="15.75" thickBot="1" x14ac:dyDescent="0.3">
      <c r="A182" s="469"/>
      <c r="B182" s="441"/>
      <c r="C182" s="265" t="s">
        <v>104</v>
      </c>
      <c r="D182" s="109">
        <f>+D180/D171</f>
        <v>0.69668649107901448</v>
      </c>
      <c r="E182" s="109">
        <f t="shared" ref="E182:O182" si="231">+E180/E171</f>
        <v>0.7231481481481481</v>
      </c>
      <c r="F182" s="109">
        <f t="shared" si="231"/>
        <v>0.74259259259259258</v>
      </c>
      <c r="G182" s="109">
        <f t="shared" si="231"/>
        <v>0.75648148148148153</v>
      </c>
      <c r="H182" s="109">
        <f t="shared" si="231"/>
        <v>0.7983425414364641</v>
      </c>
      <c r="I182" s="109">
        <f t="shared" si="231"/>
        <v>0.83992640294388221</v>
      </c>
      <c r="J182" s="109">
        <f t="shared" si="231"/>
        <v>0.74540441176470584</v>
      </c>
      <c r="K182" s="109">
        <f t="shared" si="231"/>
        <v>0.68377635197066911</v>
      </c>
      <c r="L182" s="109">
        <f t="shared" si="231"/>
        <v>0.71872146118721458</v>
      </c>
      <c r="M182" s="109">
        <f t="shared" si="231"/>
        <v>0.73837739288969917</v>
      </c>
      <c r="N182" s="109">
        <f t="shared" si="231"/>
        <v>0.75387420237010028</v>
      </c>
      <c r="O182" s="109">
        <f t="shared" si="231"/>
        <v>0.5301094890510949</v>
      </c>
    </row>
    <row r="183" spans="1:16" x14ac:dyDescent="0.25">
      <c r="A183" s="469"/>
      <c r="B183" s="441"/>
      <c r="C183" s="393" t="s">
        <v>122</v>
      </c>
      <c r="D183" s="378">
        <f>+PIGOO!B159</f>
        <v>167</v>
      </c>
      <c r="E183" s="378">
        <f>+PIGOO!C159</f>
        <v>217</v>
      </c>
      <c r="F183" s="378">
        <f>+PIGOO!D159</f>
        <v>218</v>
      </c>
      <c r="G183" s="378">
        <f>+PIGOO!E159</f>
        <v>228</v>
      </c>
      <c r="H183" s="378">
        <f>+PIGOO!F159</f>
        <v>234</v>
      </c>
      <c r="I183" s="378">
        <f>+PIGOO!G159</f>
        <v>235</v>
      </c>
      <c r="J183" s="378">
        <f>+PIGOO!H159</f>
        <v>234</v>
      </c>
      <c r="K183" s="378">
        <f>+PIGOO!I159</f>
        <v>236</v>
      </c>
      <c r="L183" s="378">
        <f>+PIGOO!J159</f>
        <v>239</v>
      </c>
      <c r="M183" s="378">
        <f>+PIGOO!K159</f>
        <v>243</v>
      </c>
      <c r="N183" s="378">
        <f>+PIGOO!L159</f>
        <v>245</v>
      </c>
      <c r="O183" s="378">
        <f>+PIGOO!M159</f>
        <v>242</v>
      </c>
      <c r="P183" s="381">
        <v>16</v>
      </c>
    </row>
    <row r="184" spans="1:16" ht="15.75" thickBot="1" x14ac:dyDescent="0.3">
      <c r="A184" s="469"/>
      <c r="B184" s="442"/>
      <c r="C184" s="267" t="s">
        <v>123</v>
      </c>
      <c r="D184" s="109"/>
      <c r="E184" s="266"/>
      <c r="F184" s="266"/>
      <c r="G184" s="266"/>
      <c r="H184" s="266"/>
      <c r="I184" s="266"/>
      <c r="J184" s="266"/>
      <c r="K184" s="266"/>
      <c r="L184" s="266"/>
      <c r="M184" s="266"/>
      <c r="N184" s="266"/>
      <c r="O184" s="266"/>
    </row>
    <row r="185" spans="1:16" ht="30" x14ac:dyDescent="0.25">
      <c r="A185" s="469"/>
      <c r="B185" s="169"/>
      <c r="C185" s="184" t="s">
        <v>48</v>
      </c>
      <c r="D185" s="110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383"/>
    </row>
    <row r="186" spans="1:16" ht="30" x14ac:dyDescent="0.25">
      <c r="A186" s="469"/>
      <c r="B186" s="169"/>
      <c r="C186" s="239" t="s">
        <v>105</v>
      </c>
      <c r="D186" s="112">
        <f>D185</f>
        <v>0</v>
      </c>
      <c r="E186" s="113">
        <f>D186+E185</f>
        <v>0</v>
      </c>
      <c r="F186" s="113">
        <f t="shared" ref="F186:O186" si="232">E186+F185</f>
        <v>0</v>
      </c>
      <c r="G186" s="113">
        <f t="shared" si="232"/>
        <v>0</v>
      </c>
      <c r="H186" s="113">
        <f t="shared" si="232"/>
        <v>0</v>
      </c>
      <c r="I186" s="113">
        <f t="shared" si="232"/>
        <v>0</v>
      </c>
      <c r="J186" s="113">
        <f t="shared" si="232"/>
        <v>0</v>
      </c>
      <c r="K186" s="113">
        <f>J186+K185</f>
        <v>0</v>
      </c>
      <c r="L186" s="113">
        <f t="shared" si="232"/>
        <v>0</v>
      </c>
      <c r="M186" s="113">
        <f t="shared" si="232"/>
        <v>0</v>
      </c>
      <c r="N186" s="113">
        <f t="shared" si="232"/>
        <v>0</v>
      </c>
      <c r="O186" s="113">
        <f t="shared" si="232"/>
        <v>0</v>
      </c>
      <c r="P186" s="383"/>
    </row>
    <row r="187" spans="1:16" ht="15.75" thickBot="1" x14ac:dyDescent="0.3">
      <c r="A187" s="469"/>
      <c r="B187" s="169"/>
      <c r="C187" s="185" t="s">
        <v>49</v>
      </c>
      <c r="D187" s="114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</row>
    <row r="188" spans="1:16" ht="30" x14ac:dyDescent="0.25">
      <c r="A188" s="469"/>
      <c r="B188" s="169"/>
      <c r="C188" s="186" t="s">
        <v>289</v>
      </c>
      <c r="D188" s="116"/>
      <c r="E188" s="117"/>
      <c r="F188" s="117"/>
      <c r="G188" s="117"/>
      <c r="H188" s="117"/>
      <c r="I188" s="42"/>
      <c r="J188" s="42"/>
      <c r="K188" s="42"/>
      <c r="L188" s="42"/>
      <c r="M188" s="42"/>
      <c r="N188" s="42"/>
      <c r="O188" s="42"/>
    </row>
    <row r="189" spans="1:16" ht="30.75" thickBot="1" x14ac:dyDescent="0.3">
      <c r="A189" s="469"/>
      <c r="B189" s="169"/>
      <c r="C189" s="118" t="s">
        <v>290</v>
      </c>
      <c r="D189" s="93">
        <f>+D188</f>
        <v>0</v>
      </c>
      <c r="E189" s="94">
        <f>+D189+E188</f>
        <v>0</v>
      </c>
      <c r="F189" s="94">
        <f t="shared" ref="F189:O189" si="233">+E189+F188</f>
        <v>0</v>
      </c>
      <c r="G189" s="94">
        <f t="shared" si="233"/>
        <v>0</v>
      </c>
      <c r="H189" s="94">
        <f t="shared" si="233"/>
        <v>0</v>
      </c>
      <c r="I189" s="94">
        <f t="shared" si="233"/>
        <v>0</v>
      </c>
      <c r="J189" s="94">
        <f t="shared" si="233"/>
        <v>0</v>
      </c>
      <c r="K189" s="94">
        <f t="shared" si="233"/>
        <v>0</v>
      </c>
      <c r="L189" s="94">
        <f t="shared" si="233"/>
        <v>0</v>
      </c>
      <c r="M189" s="94">
        <f t="shared" si="233"/>
        <v>0</v>
      </c>
      <c r="N189" s="94">
        <f t="shared" si="233"/>
        <v>0</v>
      </c>
      <c r="O189" s="94">
        <f t="shared" si="233"/>
        <v>0</v>
      </c>
    </row>
    <row r="190" spans="1:16" ht="15.75" thickBot="1" x14ac:dyDescent="0.3">
      <c r="A190" s="470"/>
      <c r="B190" s="170"/>
      <c r="C190" s="430" t="s">
        <v>50</v>
      </c>
      <c r="D190" s="119">
        <f>+PIGOO!B156</f>
        <v>1</v>
      </c>
      <c r="E190" s="119">
        <f>+PIGOO!C156</f>
        <v>1</v>
      </c>
      <c r="F190" s="119">
        <f>+PIGOO!D156</f>
        <v>1</v>
      </c>
      <c r="G190" s="119">
        <f>+PIGOO!E156</f>
        <v>1</v>
      </c>
      <c r="H190" s="119">
        <f>+PIGOO!F156</f>
        <v>1</v>
      </c>
      <c r="I190" s="119">
        <f>+PIGOO!G156</f>
        <v>1</v>
      </c>
      <c r="J190" s="119">
        <f>+PIGOO!H156</f>
        <v>1</v>
      </c>
      <c r="K190" s="119">
        <f>+PIGOO!I156</f>
        <v>1</v>
      </c>
      <c r="L190" s="119">
        <f>+PIGOO!J156</f>
        <v>1</v>
      </c>
      <c r="M190" s="119">
        <f>+PIGOO!K156</f>
        <v>1</v>
      </c>
      <c r="N190" s="119">
        <f>+PIGOO!L156</f>
        <v>1</v>
      </c>
      <c r="O190" s="119">
        <f>+PIGOO!M156</f>
        <v>1</v>
      </c>
    </row>
    <row r="191" spans="1:16" x14ac:dyDescent="0.25">
      <c r="A191" s="482" t="s">
        <v>51</v>
      </c>
      <c r="B191" s="438" t="s">
        <v>52</v>
      </c>
      <c r="C191" s="394" t="s">
        <v>106</v>
      </c>
      <c r="D191" s="120">
        <f>+PIGOO!B188+PIGOO!B190+PIGOO!B192</f>
        <v>0</v>
      </c>
      <c r="E191" s="120">
        <f>+PIGOO!C188+PIGOO!C190+PIGOO!C192</f>
        <v>0</v>
      </c>
      <c r="F191" s="120">
        <f>+PIGOO!D188+PIGOO!D190+PIGOO!D192</f>
        <v>0</v>
      </c>
      <c r="G191" s="120">
        <f>+PIGOO!E188+PIGOO!E190+PIGOO!E192</f>
        <v>0</v>
      </c>
      <c r="H191" s="120">
        <f>+PIGOO!F188+PIGOO!F190+PIGOO!F192</f>
        <v>0</v>
      </c>
      <c r="I191" s="120">
        <f>+PIGOO!G188+PIGOO!G190+PIGOO!G192</f>
        <v>0</v>
      </c>
      <c r="J191" s="120">
        <f>+PIGOO!H188+PIGOO!H190+PIGOO!H192</f>
        <v>0</v>
      </c>
      <c r="K191" s="120">
        <f>+PIGOO!I188+PIGOO!I190+PIGOO!I192</f>
        <v>0</v>
      </c>
      <c r="L191" s="120">
        <f>+PIGOO!J188+PIGOO!J190+PIGOO!J192</f>
        <v>0</v>
      </c>
      <c r="M191" s="120">
        <f>+PIGOO!K188+PIGOO!K190+PIGOO!K192</f>
        <v>0</v>
      </c>
      <c r="N191" s="120">
        <f>+PIGOO!L188+PIGOO!L190+PIGOO!L192</f>
        <v>0</v>
      </c>
      <c r="O191" s="120">
        <f>+PIGOO!M188+PIGOO!M190+PIGOO!M192</f>
        <v>0</v>
      </c>
      <c r="P191" s="381">
        <v>17</v>
      </c>
    </row>
    <row r="192" spans="1:16" x14ac:dyDescent="0.25">
      <c r="A192" s="482"/>
      <c r="B192" s="439"/>
      <c r="C192" s="397" t="s">
        <v>107</v>
      </c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8"/>
      <c r="P192" s="384"/>
    </row>
    <row r="193" spans="1:16" ht="18.75" x14ac:dyDescent="0.25">
      <c r="A193" s="482"/>
      <c r="B193" s="439"/>
      <c r="C193" s="122" t="s">
        <v>53</v>
      </c>
      <c r="D193" s="123">
        <f>D192-D191</f>
        <v>0</v>
      </c>
      <c r="E193" s="123">
        <f t="shared" ref="E193:J193" si="234">E192-E191</f>
        <v>0</v>
      </c>
      <c r="F193" s="123">
        <f t="shared" si="234"/>
        <v>0</v>
      </c>
      <c r="G193" s="123">
        <f t="shared" si="234"/>
        <v>0</v>
      </c>
      <c r="H193" s="123">
        <f t="shared" si="234"/>
        <v>0</v>
      </c>
      <c r="I193" s="123">
        <f t="shared" si="234"/>
        <v>0</v>
      </c>
      <c r="J193" s="123">
        <f t="shared" si="234"/>
        <v>0</v>
      </c>
      <c r="K193" s="123">
        <f>K192-K191</f>
        <v>0</v>
      </c>
      <c r="L193" s="123">
        <f t="shared" ref="L193:O193" si="235">L192-L191</f>
        <v>0</v>
      </c>
      <c r="M193" s="123">
        <f t="shared" si="235"/>
        <v>0</v>
      </c>
      <c r="N193" s="123">
        <f t="shared" si="235"/>
        <v>0</v>
      </c>
      <c r="O193" s="30">
        <f t="shared" si="235"/>
        <v>0</v>
      </c>
    </row>
    <row r="194" spans="1:16" ht="19.5" thickBot="1" x14ac:dyDescent="0.3">
      <c r="A194" s="482"/>
      <c r="B194" s="456"/>
      <c r="C194" s="124" t="s">
        <v>54</v>
      </c>
      <c r="D194" s="125" t="e">
        <f>D193/D192</f>
        <v>#DIV/0!</v>
      </c>
      <c r="E194" s="125" t="e">
        <f t="shared" ref="E194:O194" si="236">E193/E192</f>
        <v>#DIV/0!</v>
      </c>
      <c r="F194" s="125" t="e">
        <f t="shared" si="236"/>
        <v>#DIV/0!</v>
      </c>
      <c r="G194" s="125" t="e">
        <f t="shared" si="236"/>
        <v>#DIV/0!</v>
      </c>
      <c r="H194" s="125" t="e">
        <f t="shared" si="236"/>
        <v>#DIV/0!</v>
      </c>
      <c r="I194" s="125" t="e">
        <f t="shared" si="236"/>
        <v>#DIV/0!</v>
      </c>
      <c r="J194" s="125" t="e">
        <f t="shared" si="236"/>
        <v>#DIV/0!</v>
      </c>
      <c r="K194" s="125" t="e">
        <f>K193/K192</f>
        <v>#DIV/0!</v>
      </c>
      <c r="L194" s="125" t="e">
        <f t="shared" si="236"/>
        <v>#DIV/0!</v>
      </c>
      <c r="M194" s="125" t="e">
        <f t="shared" si="236"/>
        <v>#DIV/0!</v>
      </c>
      <c r="N194" s="125" t="e">
        <f t="shared" si="236"/>
        <v>#DIV/0!</v>
      </c>
      <c r="O194" s="126" t="e">
        <f t="shared" si="236"/>
        <v>#DIV/0!</v>
      </c>
    </row>
    <row r="195" spans="1:16" s="128" customFormat="1" x14ac:dyDescent="0.25">
      <c r="A195" s="482"/>
      <c r="B195" s="438" t="s">
        <v>55</v>
      </c>
      <c r="C195" s="395" t="s">
        <v>56</v>
      </c>
      <c r="D195" s="127">
        <f>+PIGOO!B187+PIGOO!B189+PIGOO!B191</f>
        <v>5</v>
      </c>
      <c r="E195" s="127">
        <f>+PIGOO!C187+PIGOO!C189+PIGOO!C191</f>
        <v>5</v>
      </c>
      <c r="F195" s="127">
        <f>+PIGOO!D187+PIGOO!D189+PIGOO!D191</f>
        <v>5</v>
      </c>
      <c r="G195" s="127">
        <f>+PIGOO!E187+PIGOO!E189+PIGOO!E191</f>
        <v>5</v>
      </c>
      <c r="H195" s="127">
        <f>+PIGOO!F187+PIGOO!F189+PIGOO!F191</f>
        <v>4</v>
      </c>
      <c r="I195" s="127">
        <f>+PIGOO!G187+PIGOO!G189+PIGOO!G191</f>
        <v>4</v>
      </c>
      <c r="J195" s="127">
        <f>+PIGOO!H187+PIGOO!H189+PIGOO!H191</f>
        <v>4</v>
      </c>
      <c r="K195" s="127">
        <f>+PIGOO!I187+PIGOO!I189+PIGOO!I191</f>
        <v>5</v>
      </c>
      <c r="L195" s="127">
        <f>+PIGOO!J187+PIGOO!J189+PIGOO!J191</f>
        <v>5</v>
      </c>
      <c r="M195" s="127">
        <f>+PIGOO!K187+PIGOO!K189+PIGOO!K191</f>
        <v>5</v>
      </c>
      <c r="N195" s="127">
        <f>+PIGOO!L187+PIGOO!L189+PIGOO!L191</f>
        <v>4</v>
      </c>
      <c r="O195" s="127">
        <f>+PIGOO!M187+PIGOO!M189+PIGOO!M191</f>
        <v>5</v>
      </c>
      <c r="P195" s="385">
        <v>18</v>
      </c>
    </row>
    <row r="196" spans="1:16" x14ac:dyDescent="0.25">
      <c r="A196" s="482"/>
      <c r="B196" s="439"/>
      <c r="C196" s="397" t="s">
        <v>107</v>
      </c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1:16" ht="18.75" x14ac:dyDescent="0.25">
      <c r="A197" s="482"/>
      <c r="B197" s="439"/>
      <c r="C197" s="122" t="s">
        <v>53</v>
      </c>
      <c r="D197" s="30">
        <f>D196-D195</f>
        <v>-5</v>
      </c>
      <c r="E197" s="30">
        <f t="shared" ref="E197:O197" si="237">E196-E195</f>
        <v>-5</v>
      </c>
      <c r="F197" s="30">
        <f t="shared" si="237"/>
        <v>-5</v>
      </c>
      <c r="G197" s="30">
        <f t="shared" si="237"/>
        <v>-5</v>
      </c>
      <c r="H197" s="30">
        <f t="shared" si="237"/>
        <v>-4</v>
      </c>
      <c r="I197" s="30">
        <f t="shared" si="237"/>
        <v>-4</v>
      </c>
      <c r="J197" s="30">
        <f t="shared" si="237"/>
        <v>-4</v>
      </c>
      <c r="K197" s="30">
        <f t="shared" si="237"/>
        <v>-5</v>
      </c>
      <c r="L197" s="30">
        <f t="shared" si="237"/>
        <v>-5</v>
      </c>
      <c r="M197" s="30">
        <f t="shared" si="237"/>
        <v>-5</v>
      </c>
      <c r="N197" s="30">
        <f t="shared" si="237"/>
        <v>-4</v>
      </c>
      <c r="O197" s="30">
        <f t="shared" si="237"/>
        <v>-5</v>
      </c>
    </row>
    <row r="198" spans="1:16" ht="19.5" thickBot="1" x14ac:dyDescent="0.3">
      <c r="A198" s="482"/>
      <c r="B198" s="456"/>
      <c r="C198" s="124" t="s">
        <v>54</v>
      </c>
      <c r="D198" s="129" t="e">
        <f>D197/D196</f>
        <v>#DIV/0!</v>
      </c>
      <c r="E198" s="129" t="e">
        <f t="shared" ref="E198:O198" si="238">E197/E196</f>
        <v>#DIV/0!</v>
      </c>
      <c r="F198" s="129" t="e">
        <f t="shared" si="238"/>
        <v>#DIV/0!</v>
      </c>
      <c r="G198" s="129" t="e">
        <f t="shared" si="238"/>
        <v>#DIV/0!</v>
      </c>
      <c r="H198" s="129" t="e">
        <f t="shared" si="238"/>
        <v>#DIV/0!</v>
      </c>
      <c r="I198" s="129" t="e">
        <f t="shared" si="238"/>
        <v>#DIV/0!</v>
      </c>
      <c r="J198" s="129" t="e">
        <f t="shared" si="238"/>
        <v>#DIV/0!</v>
      </c>
      <c r="K198" s="129" t="e">
        <f>K197/K196</f>
        <v>#DIV/0!</v>
      </c>
      <c r="L198" s="129" t="e">
        <f t="shared" si="238"/>
        <v>#DIV/0!</v>
      </c>
      <c r="M198" s="129" t="e">
        <f t="shared" si="238"/>
        <v>#DIV/0!</v>
      </c>
      <c r="N198" s="129" t="e">
        <f t="shared" si="238"/>
        <v>#DIV/0!</v>
      </c>
      <c r="O198" s="126" t="e">
        <f t="shared" si="238"/>
        <v>#DIV/0!</v>
      </c>
    </row>
    <row r="199" spans="1:16" s="128" customFormat="1" x14ac:dyDescent="0.25">
      <c r="A199" s="482"/>
      <c r="B199" s="438" t="s">
        <v>57</v>
      </c>
      <c r="C199" s="395" t="s">
        <v>56</v>
      </c>
      <c r="D199" s="130">
        <f>+PIGOO!B194</f>
        <v>0</v>
      </c>
      <c r="E199" s="130">
        <f>+PIGOO!C194</f>
        <v>0</v>
      </c>
      <c r="F199" s="130">
        <f>+PIGOO!D194</f>
        <v>0</v>
      </c>
      <c r="G199" s="130">
        <f>+PIGOO!E194</f>
        <v>0</v>
      </c>
      <c r="H199" s="130">
        <f>+PIGOO!F194</f>
        <v>0</v>
      </c>
      <c r="I199" s="130">
        <f>+PIGOO!G194</f>
        <v>0</v>
      </c>
      <c r="J199" s="130">
        <f>+PIGOO!H194</f>
        <v>0</v>
      </c>
      <c r="K199" s="130">
        <f>+PIGOO!I194</f>
        <v>0</v>
      </c>
      <c r="L199" s="130">
        <f>+PIGOO!J194</f>
        <v>0</v>
      </c>
      <c r="M199" s="130">
        <f>+PIGOO!K194</f>
        <v>0</v>
      </c>
      <c r="N199" s="130">
        <f>+PIGOO!L194</f>
        <v>0</v>
      </c>
      <c r="O199" s="130">
        <f>+PIGOO!M194</f>
        <v>0</v>
      </c>
      <c r="P199" s="385">
        <v>19</v>
      </c>
    </row>
    <row r="200" spans="1:16" x14ac:dyDescent="0.25">
      <c r="A200" s="482"/>
      <c r="B200" s="439"/>
      <c r="C200" s="397" t="s">
        <v>107</v>
      </c>
      <c r="D200" s="8"/>
      <c r="E200" s="8"/>
      <c r="F200" s="8"/>
      <c r="G200" s="8"/>
      <c r="H200" s="8"/>
      <c r="I200" s="8"/>
      <c r="J200" s="8"/>
      <c r="K200" s="131"/>
      <c r="L200" s="8">
        <v>0</v>
      </c>
      <c r="M200" s="8">
        <v>0</v>
      </c>
      <c r="N200" s="8"/>
      <c r="O200" s="8"/>
    </row>
    <row r="201" spans="1:16" ht="18.75" x14ac:dyDescent="0.25">
      <c r="A201" s="482"/>
      <c r="B201" s="439"/>
      <c r="C201" s="122" t="s">
        <v>53</v>
      </c>
      <c r="D201" s="30">
        <f>D200-D199</f>
        <v>0</v>
      </c>
      <c r="E201" s="30">
        <f t="shared" ref="E201:J201" si="239">E200-E199</f>
        <v>0</v>
      </c>
      <c r="F201" s="30">
        <f t="shared" si="239"/>
        <v>0</v>
      </c>
      <c r="G201" s="30">
        <f t="shared" si="239"/>
        <v>0</v>
      </c>
      <c r="H201" s="30">
        <f t="shared" si="239"/>
        <v>0</v>
      </c>
      <c r="I201" s="30">
        <f t="shared" si="239"/>
        <v>0</v>
      </c>
      <c r="J201" s="132">
        <f t="shared" si="239"/>
        <v>0</v>
      </c>
      <c r="K201" s="133">
        <f>K200-K199</f>
        <v>0</v>
      </c>
      <c r="L201" s="132">
        <f t="shared" ref="L201:O201" si="240">L200-L199</f>
        <v>0</v>
      </c>
      <c r="M201" s="132">
        <f t="shared" si="240"/>
        <v>0</v>
      </c>
      <c r="N201" s="132">
        <f t="shared" si="240"/>
        <v>0</v>
      </c>
      <c r="O201" s="132">
        <f t="shared" si="240"/>
        <v>0</v>
      </c>
    </row>
    <row r="202" spans="1:16" ht="19.5" thickBot="1" x14ac:dyDescent="0.3">
      <c r="A202" s="482"/>
      <c r="B202" s="439"/>
      <c r="C202" s="124" t="s">
        <v>54</v>
      </c>
      <c r="D202" s="125" t="e">
        <f>D201/D200</f>
        <v>#DIV/0!</v>
      </c>
      <c r="E202" s="125" t="e">
        <f t="shared" ref="E202:O202" si="241">E201/E200</f>
        <v>#DIV/0!</v>
      </c>
      <c r="F202" s="125" t="e">
        <f t="shared" si="241"/>
        <v>#DIV/0!</v>
      </c>
      <c r="G202" s="125" t="e">
        <f t="shared" si="241"/>
        <v>#DIV/0!</v>
      </c>
      <c r="H202" s="125" t="e">
        <f t="shared" si="241"/>
        <v>#DIV/0!</v>
      </c>
      <c r="I202" s="125" t="e">
        <f t="shared" si="241"/>
        <v>#DIV/0!</v>
      </c>
      <c r="J202" s="125" t="e">
        <f t="shared" si="241"/>
        <v>#DIV/0!</v>
      </c>
      <c r="K202" s="134" t="e">
        <f>K201/K200</f>
        <v>#DIV/0!</v>
      </c>
      <c r="L202" s="125" t="e">
        <f t="shared" si="241"/>
        <v>#DIV/0!</v>
      </c>
      <c r="M202" s="125" t="e">
        <f t="shared" si="241"/>
        <v>#DIV/0!</v>
      </c>
      <c r="N202" s="125" t="e">
        <f t="shared" si="241"/>
        <v>#DIV/0!</v>
      </c>
      <c r="O202" s="126" t="e">
        <f t="shared" si="241"/>
        <v>#DIV/0!</v>
      </c>
    </row>
    <row r="203" spans="1:16" x14ac:dyDescent="0.25">
      <c r="A203" s="482"/>
      <c r="B203" s="438" t="s">
        <v>58</v>
      </c>
      <c r="C203" s="396" t="s">
        <v>56</v>
      </c>
      <c r="D203" s="135">
        <f>+PIGOO!B193</f>
        <v>0</v>
      </c>
      <c r="E203" s="135">
        <f>+PIGOO!C193</f>
        <v>0</v>
      </c>
      <c r="F203" s="135">
        <f>+PIGOO!D193</f>
        <v>0</v>
      </c>
      <c r="G203" s="135">
        <f>+PIGOO!E193</f>
        <v>0</v>
      </c>
      <c r="H203" s="135">
        <f>+PIGOO!F193</f>
        <v>0</v>
      </c>
      <c r="I203" s="135">
        <f>+PIGOO!G193</f>
        <v>0</v>
      </c>
      <c r="J203" s="135">
        <f>+PIGOO!H193</f>
        <v>0</v>
      </c>
      <c r="K203" s="135">
        <f>+PIGOO!I193</f>
        <v>0</v>
      </c>
      <c r="L203" s="135">
        <f>+PIGOO!J193</f>
        <v>0</v>
      </c>
      <c r="M203" s="135">
        <f>+PIGOO!K193</f>
        <v>0</v>
      </c>
      <c r="N203" s="135">
        <f>+PIGOO!L193</f>
        <v>0</v>
      </c>
      <c r="O203" s="135">
        <f>+PIGOO!M193</f>
        <v>0</v>
      </c>
      <c r="P203" s="381">
        <v>20</v>
      </c>
    </row>
    <row r="204" spans="1:16" x14ac:dyDescent="0.25">
      <c r="A204" s="482"/>
      <c r="B204" s="439"/>
      <c r="C204" s="397" t="s">
        <v>107</v>
      </c>
      <c r="D204" s="9"/>
      <c r="E204" s="9"/>
      <c r="F204" s="9"/>
      <c r="G204" s="9"/>
      <c r="H204" s="9"/>
      <c r="I204" s="9"/>
      <c r="J204" s="9"/>
      <c r="K204" s="136"/>
      <c r="L204" s="9"/>
      <c r="M204" s="9"/>
      <c r="N204" s="9"/>
      <c r="O204" s="9"/>
    </row>
    <row r="205" spans="1:16" ht="18.75" x14ac:dyDescent="0.25">
      <c r="A205" s="482"/>
      <c r="B205" s="439"/>
      <c r="C205" s="137" t="s">
        <v>53</v>
      </c>
      <c r="D205" s="31">
        <f>D204-D203</f>
        <v>0</v>
      </c>
      <c r="E205" s="31">
        <f t="shared" ref="E205:J205" si="242">E204-E203</f>
        <v>0</v>
      </c>
      <c r="F205" s="31">
        <f t="shared" si="242"/>
        <v>0</v>
      </c>
      <c r="G205" s="31">
        <f t="shared" si="242"/>
        <v>0</v>
      </c>
      <c r="H205" s="31">
        <f t="shared" si="242"/>
        <v>0</v>
      </c>
      <c r="I205" s="31">
        <f t="shared" si="242"/>
        <v>0</v>
      </c>
      <c r="J205" s="78">
        <f t="shared" si="242"/>
        <v>0</v>
      </c>
      <c r="K205" s="78">
        <f>K204-K203</f>
        <v>0</v>
      </c>
      <c r="L205" s="78">
        <f t="shared" ref="L205:O205" si="243">L204-L203</f>
        <v>0</v>
      </c>
      <c r="M205" s="78">
        <f t="shared" si="243"/>
        <v>0</v>
      </c>
      <c r="N205" s="78">
        <f t="shared" si="243"/>
        <v>0</v>
      </c>
      <c r="O205" s="78">
        <f t="shared" si="243"/>
        <v>0</v>
      </c>
    </row>
    <row r="206" spans="1:16" ht="19.5" thickBot="1" x14ac:dyDescent="0.3">
      <c r="A206" s="482"/>
      <c r="B206" s="456"/>
      <c r="C206" s="138" t="s">
        <v>54</v>
      </c>
      <c r="D206" s="125" t="e">
        <f>D205/D204</f>
        <v>#DIV/0!</v>
      </c>
      <c r="E206" s="125" t="e">
        <f t="shared" ref="E206:O206" si="244">E205/E204</f>
        <v>#DIV/0!</v>
      </c>
      <c r="F206" s="125" t="e">
        <f t="shared" si="244"/>
        <v>#DIV/0!</v>
      </c>
      <c r="G206" s="125" t="e">
        <f t="shared" si="244"/>
        <v>#DIV/0!</v>
      </c>
      <c r="H206" s="125" t="e">
        <f t="shared" si="244"/>
        <v>#DIV/0!</v>
      </c>
      <c r="I206" s="125" t="e">
        <f t="shared" si="244"/>
        <v>#DIV/0!</v>
      </c>
      <c r="J206" s="125" t="e">
        <f t="shared" si="244"/>
        <v>#DIV/0!</v>
      </c>
      <c r="K206" s="125" t="e">
        <f>K205/K204</f>
        <v>#DIV/0!</v>
      </c>
      <c r="L206" s="125" t="e">
        <f t="shared" si="244"/>
        <v>#DIV/0!</v>
      </c>
      <c r="M206" s="125" t="e">
        <f t="shared" si="244"/>
        <v>#DIV/0!</v>
      </c>
      <c r="N206" s="125" t="e">
        <f t="shared" si="244"/>
        <v>#DIV/0!</v>
      </c>
      <c r="O206" s="126" t="e">
        <f t="shared" si="244"/>
        <v>#DIV/0!</v>
      </c>
    </row>
    <row r="207" spans="1:16" ht="15" customHeight="1" x14ac:dyDescent="0.25">
      <c r="B207" s="488" t="s">
        <v>108</v>
      </c>
      <c r="C207" s="489"/>
      <c r="D207" s="139">
        <f>D191+D195</f>
        <v>5</v>
      </c>
      <c r="E207" s="139">
        <f t="shared" ref="E207:I208" si="245">E191+E195</f>
        <v>5</v>
      </c>
      <c r="F207" s="139">
        <f t="shared" si="245"/>
        <v>5</v>
      </c>
      <c r="G207" s="139">
        <f t="shared" si="245"/>
        <v>5</v>
      </c>
      <c r="H207" s="139">
        <f t="shared" si="245"/>
        <v>4</v>
      </c>
      <c r="I207" s="139">
        <f t="shared" si="245"/>
        <v>4</v>
      </c>
      <c r="J207" s="139">
        <f t="shared" ref="J207:O207" si="246">J191+J195</f>
        <v>4</v>
      </c>
      <c r="K207" s="139">
        <f t="shared" si="246"/>
        <v>5</v>
      </c>
      <c r="L207" s="139">
        <f t="shared" si="246"/>
        <v>5</v>
      </c>
      <c r="M207" s="139">
        <f t="shared" si="246"/>
        <v>5</v>
      </c>
      <c r="N207" s="139">
        <f t="shared" si="246"/>
        <v>4</v>
      </c>
      <c r="O207" s="139">
        <f t="shared" si="246"/>
        <v>5</v>
      </c>
    </row>
    <row r="208" spans="1:16" ht="15" customHeight="1" x14ac:dyDescent="0.25">
      <c r="B208" s="490" t="s">
        <v>74</v>
      </c>
      <c r="C208" s="491"/>
      <c r="D208" s="140">
        <f>D192+D196</f>
        <v>0</v>
      </c>
      <c r="E208" s="140">
        <f t="shared" si="245"/>
        <v>0</v>
      </c>
      <c r="F208" s="140">
        <f t="shared" si="245"/>
        <v>0</v>
      </c>
      <c r="G208" s="140">
        <f t="shared" si="245"/>
        <v>0</v>
      </c>
      <c r="H208" s="140">
        <f t="shared" si="245"/>
        <v>0</v>
      </c>
      <c r="I208" s="140">
        <f t="shared" si="245"/>
        <v>0</v>
      </c>
      <c r="J208" s="140">
        <f t="shared" ref="J208:O208" si="247">J192+J196</f>
        <v>0</v>
      </c>
      <c r="K208" s="140">
        <f t="shared" si="247"/>
        <v>0</v>
      </c>
      <c r="L208" s="140">
        <f t="shared" si="247"/>
        <v>0</v>
      </c>
      <c r="M208" s="140">
        <f t="shared" si="247"/>
        <v>0</v>
      </c>
      <c r="N208" s="140">
        <f t="shared" si="247"/>
        <v>0</v>
      </c>
      <c r="O208" s="140">
        <f t="shared" si="247"/>
        <v>0</v>
      </c>
    </row>
    <row r="209" spans="1:16" ht="15" customHeight="1" x14ac:dyDescent="0.25">
      <c r="B209" s="492" t="s">
        <v>109</v>
      </c>
      <c r="C209" s="493"/>
      <c r="D209" s="141">
        <f>D199+D203</f>
        <v>0</v>
      </c>
      <c r="E209" s="141">
        <f t="shared" ref="E209:I210" si="248">E199+E203</f>
        <v>0</v>
      </c>
      <c r="F209" s="141">
        <f t="shared" si="248"/>
        <v>0</v>
      </c>
      <c r="G209" s="141">
        <f t="shared" si="248"/>
        <v>0</v>
      </c>
      <c r="H209" s="141">
        <f t="shared" si="248"/>
        <v>0</v>
      </c>
      <c r="I209" s="141">
        <f t="shared" si="248"/>
        <v>0</v>
      </c>
      <c r="J209" s="141">
        <f t="shared" ref="J209:O209" si="249">J199+J203</f>
        <v>0</v>
      </c>
      <c r="K209" s="141">
        <f t="shared" si="249"/>
        <v>0</v>
      </c>
      <c r="L209" s="141">
        <f t="shared" si="249"/>
        <v>0</v>
      </c>
      <c r="M209" s="141">
        <f t="shared" si="249"/>
        <v>0</v>
      </c>
      <c r="N209" s="141">
        <f t="shared" si="249"/>
        <v>0</v>
      </c>
      <c r="O209" s="141">
        <f t="shared" si="249"/>
        <v>0</v>
      </c>
    </row>
    <row r="210" spans="1:16" ht="15" customHeight="1" x14ac:dyDescent="0.25">
      <c r="B210" s="490" t="s">
        <v>75</v>
      </c>
      <c r="C210" s="491"/>
      <c r="D210" s="142">
        <f>D200+D204</f>
        <v>0</v>
      </c>
      <c r="E210" s="142">
        <f t="shared" si="248"/>
        <v>0</v>
      </c>
      <c r="F210" s="142">
        <f t="shared" si="248"/>
        <v>0</v>
      </c>
      <c r="G210" s="142">
        <f t="shared" si="248"/>
        <v>0</v>
      </c>
      <c r="H210" s="142">
        <f t="shared" si="248"/>
        <v>0</v>
      </c>
      <c r="I210" s="142">
        <f t="shared" si="248"/>
        <v>0</v>
      </c>
      <c r="J210" s="142">
        <f t="shared" ref="J210:O210" si="250">J200+J204</f>
        <v>0</v>
      </c>
      <c r="K210" s="142">
        <f t="shared" si="250"/>
        <v>0</v>
      </c>
      <c r="L210" s="142">
        <f t="shared" si="250"/>
        <v>0</v>
      </c>
      <c r="M210" s="142">
        <f t="shared" si="250"/>
        <v>0</v>
      </c>
      <c r="N210" s="142">
        <f t="shared" si="250"/>
        <v>0</v>
      </c>
      <c r="O210" s="142">
        <f t="shared" si="250"/>
        <v>0</v>
      </c>
    </row>
    <row r="211" spans="1:16" ht="17.25" customHeight="1" x14ac:dyDescent="0.25">
      <c r="B211" s="494" t="s">
        <v>76</v>
      </c>
      <c r="C211" s="495"/>
      <c r="D211" s="143">
        <f>D207+D209</f>
        <v>5</v>
      </c>
      <c r="E211" s="143">
        <f t="shared" ref="E211:I212" si="251">E207+E209</f>
        <v>5</v>
      </c>
      <c r="F211" s="143">
        <f t="shared" si="251"/>
        <v>5</v>
      </c>
      <c r="G211" s="143">
        <f t="shared" si="251"/>
        <v>5</v>
      </c>
      <c r="H211" s="143">
        <f t="shared" si="251"/>
        <v>4</v>
      </c>
      <c r="I211" s="143">
        <f t="shared" si="251"/>
        <v>4</v>
      </c>
      <c r="J211" s="143">
        <f t="shared" ref="J211:O211" si="252">J207+J209</f>
        <v>4</v>
      </c>
      <c r="K211" s="143">
        <f t="shared" si="252"/>
        <v>5</v>
      </c>
      <c r="L211" s="143">
        <f t="shared" si="252"/>
        <v>5</v>
      </c>
      <c r="M211" s="143">
        <f t="shared" si="252"/>
        <v>5</v>
      </c>
      <c r="N211" s="143">
        <f t="shared" si="252"/>
        <v>4</v>
      </c>
      <c r="O211" s="143">
        <f t="shared" si="252"/>
        <v>5</v>
      </c>
    </row>
    <row r="212" spans="1:16" ht="18" customHeight="1" thickBot="1" x14ac:dyDescent="0.3">
      <c r="B212" s="496" t="s">
        <v>77</v>
      </c>
      <c r="C212" s="497"/>
      <c r="D212" s="144">
        <f>D208+D210</f>
        <v>0</v>
      </c>
      <c r="E212" s="144">
        <f t="shared" si="251"/>
        <v>0</v>
      </c>
      <c r="F212" s="144">
        <f t="shared" si="251"/>
        <v>0</v>
      </c>
      <c r="G212" s="144">
        <f t="shared" si="251"/>
        <v>0</v>
      </c>
      <c r="H212" s="144">
        <f t="shared" si="251"/>
        <v>0</v>
      </c>
      <c r="I212" s="144">
        <f t="shared" si="251"/>
        <v>0</v>
      </c>
      <c r="J212" s="144">
        <f t="shared" ref="J212:O212" si="253">J208+J210</f>
        <v>0</v>
      </c>
      <c r="K212" s="144">
        <f t="shared" si="253"/>
        <v>0</v>
      </c>
      <c r="L212" s="144">
        <f t="shared" si="253"/>
        <v>0</v>
      </c>
      <c r="M212" s="144">
        <f t="shared" si="253"/>
        <v>0</v>
      </c>
      <c r="N212" s="144">
        <f t="shared" si="253"/>
        <v>0</v>
      </c>
      <c r="O212" s="144">
        <f t="shared" si="253"/>
        <v>0</v>
      </c>
    </row>
    <row r="213" spans="1:16" ht="18.75" x14ac:dyDescent="0.25">
      <c r="B213" s="483" t="s">
        <v>59</v>
      </c>
      <c r="C213" s="145" t="s">
        <v>60</v>
      </c>
      <c r="D213" s="165">
        <f t="shared" ref="D213:O213" si="254">D211/(D171/1000)</f>
        <v>4.2480883602378929</v>
      </c>
      <c r="E213" s="165">
        <f t="shared" si="254"/>
        <v>4.6296296296296298</v>
      </c>
      <c r="F213" s="165">
        <f t="shared" si="254"/>
        <v>4.6296296296296298</v>
      </c>
      <c r="G213" s="165">
        <f t="shared" si="254"/>
        <v>4.6296296296296298</v>
      </c>
      <c r="H213" s="165">
        <f t="shared" si="254"/>
        <v>3.6832412523020257</v>
      </c>
      <c r="I213" s="165">
        <f t="shared" si="254"/>
        <v>3.6798528058877644</v>
      </c>
      <c r="J213" s="165">
        <f t="shared" si="254"/>
        <v>3.6764705882352939</v>
      </c>
      <c r="K213" s="146">
        <f t="shared" si="254"/>
        <v>4.5829514207149407</v>
      </c>
      <c r="L213" s="146">
        <f t="shared" si="254"/>
        <v>4.5662100456621006</v>
      </c>
      <c r="M213" s="146">
        <f t="shared" si="254"/>
        <v>4.5578851412944399</v>
      </c>
      <c r="N213" s="146">
        <f t="shared" si="254"/>
        <v>3.6463081130355515</v>
      </c>
      <c r="O213" s="146">
        <f t="shared" si="254"/>
        <v>4.5620437956204372</v>
      </c>
    </row>
    <row r="214" spans="1:16" ht="19.5" thickBot="1" x14ac:dyDescent="0.3">
      <c r="B214" s="484"/>
      <c r="C214" s="147" t="s">
        <v>61</v>
      </c>
      <c r="D214" s="166">
        <f t="shared" ref="D214:O214" si="255">D207/(D171/1000)</f>
        <v>4.2480883602378929</v>
      </c>
      <c r="E214" s="166">
        <f t="shared" si="255"/>
        <v>4.6296296296296298</v>
      </c>
      <c r="F214" s="166">
        <f t="shared" si="255"/>
        <v>4.6296296296296298</v>
      </c>
      <c r="G214" s="166">
        <f t="shared" si="255"/>
        <v>4.6296296296296298</v>
      </c>
      <c r="H214" s="166">
        <f t="shared" si="255"/>
        <v>3.6832412523020257</v>
      </c>
      <c r="I214" s="166">
        <f t="shared" si="255"/>
        <v>3.6798528058877644</v>
      </c>
      <c r="J214" s="166">
        <f t="shared" si="255"/>
        <v>3.6764705882352939</v>
      </c>
      <c r="K214" s="148">
        <f t="shared" si="255"/>
        <v>4.5829514207149407</v>
      </c>
      <c r="L214" s="148">
        <f t="shared" si="255"/>
        <v>4.5662100456621006</v>
      </c>
      <c r="M214" s="148">
        <f t="shared" si="255"/>
        <v>4.5578851412944399</v>
      </c>
      <c r="N214" s="148">
        <f t="shared" si="255"/>
        <v>3.6463081130355515</v>
      </c>
      <c r="O214" s="148">
        <f t="shared" si="255"/>
        <v>4.5620437956204372</v>
      </c>
    </row>
    <row r="215" spans="1:16" x14ac:dyDescent="0.25">
      <c r="B215" s="447" t="s">
        <v>66</v>
      </c>
      <c r="C215" s="398" t="s">
        <v>73</v>
      </c>
      <c r="D215" s="12">
        <f>+PIGOO!B34</f>
        <v>0</v>
      </c>
      <c r="E215" s="12">
        <f>+PIGOO!C34</f>
        <v>0</v>
      </c>
      <c r="F215" s="12">
        <f>+PIGOO!D34</f>
        <v>0</v>
      </c>
      <c r="G215" s="12">
        <f>+PIGOO!E34</f>
        <v>0</v>
      </c>
      <c r="H215" s="12">
        <f>+PIGOO!F34</f>
        <v>0</v>
      </c>
      <c r="I215" s="12">
        <f>+PIGOO!G34</f>
        <v>0</v>
      </c>
      <c r="J215" s="12">
        <f>+PIGOO!H34</f>
        <v>0</v>
      </c>
      <c r="K215" s="12">
        <f>+PIGOO!I34</f>
        <v>0</v>
      </c>
      <c r="L215" s="12">
        <f>+PIGOO!J34</f>
        <v>0</v>
      </c>
      <c r="M215" s="12">
        <f>+PIGOO!K34</f>
        <v>0</v>
      </c>
      <c r="N215" s="12">
        <f>+PIGOO!L34</f>
        <v>0</v>
      </c>
      <c r="O215" s="12">
        <f>+PIGOO!M34</f>
        <v>0</v>
      </c>
      <c r="P215" s="381">
        <v>21</v>
      </c>
    </row>
    <row r="216" spans="1:16" ht="15.75" thickBot="1" x14ac:dyDescent="0.3">
      <c r="B216" s="447"/>
      <c r="C216" s="149" t="s">
        <v>62</v>
      </c>
      <c r="D216" s="9">
        <f>D215</f>
        <v>0</v>
      </c>
      <c r="E216" s="9">
        <f>D216+E215</f>
        <v>0</v>
      </c>
      <c r="F216" s="9">
        <f t="shared" ref="F216:O216" si="256">E216+F215</f>
        <v>0</v>
      </c>
      <c r="G216" s="9">
        <f t="shared" si="256"/>
        <v>0</v>
      </c>
      <c r="H216" s="9">
        <f t="shared" si="256"/>
        <v>0</v>
      </c>
      <c r="I216" s="9">
        <f t="shared" si="256"/>
        <v>0</v>
      </c>
      <c r="J216" s="9">
        <f t="shared" si="256"/>
        <v>0</v>
      </c>
      <c r="K216" s="9">
        <f t="shared" si="256"/>
        <v>0</v>
      </c>
      <c r="L216" s="9">
        <f t="shared" si="256"/>
        <v>0</v>
      </c>
      <c r="M216" s="9">
        <f t="shared" si="256"/>
        <v>0</v>
      </c>
      <c r="N216" s="9">
        <f t="shared" si="256"/>
        <v>0</v>
      </c>
      <c r="O216" s="9">
        <f t="shared" si="256"/>
        <v>0</v>
      </c>
    </row>
    <row r="217" spans="1:16" x14ac:dyDescent="0.25">
      <c r="A217" s="485" t="s">
        <v>63</v>
      </c>
      <c r="B217" s="473" t="s">
        <v>67</v>
      </c>
      <c r="C217" s="187" t="s">
        <v>64</v>
      </c>
      <c r="D217" s="20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1:16" x14ac:dyDescent="0.25">
      <c r="A218" s="486"/>
      <c r="B218" s="465"/>
      <c r="C218" s="188" t="s">
        <v>65</v>
      </c>
      <c r="D218" s="41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</row>
    <row r="219" spans="1:16" ht="15.75" thickBot="1" x14ac:dyDescent="0.3">
      <c r="A219" s="487"/>
      <c r="B219" s="466"/>
      <c r="C219" s="189" t="s">
        <v>68</v>
      </c>
      <c r="D219" s="150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</row>
    <row r="220" spans="1:16" x14ac:dyDescent="0.25">
      <c r="B220" s="152"/>
      <c r="C220" s="1"/>
    </row>
    <row r="221" spans="1:16" x14ac:dyDescent="0.25">
      <c r="B221" s="152"/>
      <c r="C221" s="1"/>
    </row>
    <row r="222" spans="1:16" x14ac:dyDescent="0.25">
      <c r="B222" s="1"/>
    </row>
    <row r="223" spans="1:16" x14ac:dyDescent="0.25">
      <c r="B223" s="1"/>
    </row>
    <row r="224" spans="1:16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</sheetData>
  <mergeCells count="79"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A19:A20"/>
    <mergeCell ref="B19:B24"/>
    <mergeCell ref="B95:B96"/>
    <mergeCell ref="B40:B45"/>
    <mergeCell ref="B73:B78"/>
    <mergeCell ref="B52:B54"/>
    <mergeCell ref="B34:B39"/>
    <mergeCell ref="A61:A62"/>
    <mergeCell ref="B61:B66"/>
    <mergeCell ref="A25:A26"/>
    <mergeCell ref="B25:B30"/>
    <mergeCell ref="B31:B33"/>
    <mergeCell ref="A55:A56"/>
    <mergeCell ref="B55:B60"/>
    <mergeCell ref="B213:B214"/>
    <mergeCell ref="B215:B216"/>
    <mergeCell ref="A217:A219"/>
    <mergeCell ref="B217:B219"/>
    <mergeCell ref="B207:C207"/>
    <mergeCell ref="B208:C208"/>
    <mergeCell ref="B209:C209"/>
    <mergeCell ref="B210:C210"/>
    <mergeCell ref="B211:C211"/>
    <mergeCell ref="B212:C212"/>
    <mergeCell ref="A159:A161"/>
    <mergeCell ref="A191:A206"/>
    <mergeCell ref="B191:B194"/>
    <mergeCell ref="B195:B198"/>
    <mergeCell ref="B199:B202"/>
    <mergeCell ref="B203:B206"/>
    <mergeCell ref="A115:A116"/>
    <mergeCell ref="B115:B120"/>
    <mergeCell ref="B97:B98"/>
    <mergeCell ref="B99:B108"/>
    <mergeCell ref="A162:A190"/>
    <mergeCell ref="A127:A128"/>
    <mergeCell ref="B127:B132"/>
    <mergeCell ref="A133:A134"/>
    <mergeCell ref="B133:B138"/>
    <mergeCell ref="A139:A140"/>
    <mergeCell ref="B139:B144"/>
    <mergeCell ref="A145:A146"/>
    <mergeCell ref="B145:B150"/>
    <mergeCell ref="B151:B153"/>
    <mergeCell ref="A154:A155"/>
    <mergeCell ref="B154:B161"/>
    <mergeCell ref="B85:B87"/>
    <mergeCell ref="B88:B90"/>
    <mergeCell ref="B91:B93"/>
    <mergeCell ref="A109:A110"/>
    <mergeCell ref="B109:B114"/>
    <mergeCell ref="A46:A47"/>
    <mergeCell ref="B46:B51"/>
    <mergeCell ref="A34:A35"/>
    <mergeCell ref="B162:B184"/>
    <mergeCell ref="A1:O4"/>
    <mergeCell ref="B6:C6"/>
    <mergeCell ref="A7:A8"/>
    <mergeCell ref="B7:B12"/>
    <mergeCell ref="A13:A14"/>
    <mergeCell ref="B13:B18"/>
    <mergeCell ref="A121:A122"/>
    <mergeCell ref="B121:B126"/>
    <mergeCell ref="A67:A68"/>
    <mergeCell ref="B67:B72"/>
    <mergeCell ref="A79:A80"/>
    <mergeCell ref="B79:B84"/>
  </mergeCells>
  <phoneticPr fontId="47" type="noConversion"/>
  <pageMargins left="0.31496062992125984" right="0.31496062992125984" top="0.35433070866141736" bottom="0.35433070866141736" header="0.31496062992125984" footer="0.31496062992125984"/>
  <pageSetup scale="5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03"/>
  <sheetViews>
    <sheetView showGridLines="0" topLeftCell="A31" workbookViewId="0">
      <selection activeCell="K9" sqref="K9"/>
    </sheetView>
  </sheetViews>
  <sheetFormatPr baseColWidth="10" defaultRowHeight="15" x14ac:dyDescent="0.25"/>
  <cols>
    <col min="2" max="13" width="12.7109375" customWidth="1"/>
  </cols>
  <sheetData>
    <row r="1" spans="1:14" s="422" customFormat="1" x14ac:dyDescent="0.25"/>
    <row r="2" spans="1:14" s="422" customFormat="1" ht="18.75" x14ac:dyDescent="0.3">
      <c r="A2" s="425" t="s">
        <v>293</v>
      </c>
      <c r="B2" s="425"/>
      <c r="C2" s="425"/>
      <c r="D2" s="425"/>
      <c r="E2" s="425"/>
    </row>
    <row r="3" spans="1:14" x14ac:dyDescent="0.25"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</row>
    <row r="4" spans="1:14" x14ac:dyDescent="0.25">
      <c r="A4" t="s">
        <v>20</v>
      </c>
      <c r="B4" s="413">
        <f>+INDICADORES!D31</f>
        <v>0.97816810969799906</v>
      </c>
      <c r="C4" s="413">
        <f>+INDICADORES!E31</f>
        <v>0.97293452921885493</v>
      </c>
      <c r="D4" s="413">
        <f>+INDICADORES!F31</f>
        <v>0.75283883391991502</v>
      </c>
      <c r="E4" s="413">
        <f>+INDICADORES!G31</f>
        <v>0.7858924346102194</v>
      </c>
      <c r="F4" s="413">
        <f>+INDICADORES!H31</f>
        <v>0.79858581529890726</v>
      </c>
      <c r="G4" s="413">
        <f>+INDICADORES!I31</f>
        <v>1.0170631218905473</v>
      </c>
      <c r="H4" s="413">
        <f>+INDICADORES!J31</f>
        <v>0.85164816278829958</v>
      </c>
      <c r="I4" s="413">
        <f>+INDICADORES!K31</f>
        <v>0.95773942522536404</v>
      </c>
      <c r="J4" s="413">
        <f>+INDICADORES!L31</f>
        <v>0.97304399761098948</v>
      </c>
      <c r="K4" s="413">
        <f>+INDICADORES!M31</f>
        <v>0.70539837777001591</v>
      </c>
      <c r="L4" s="413">
        <f>+INDICADORES!N31</f>
        <v>0.74314638590807858</v>
      </c>
      <c r="M4" s="413">
        <f>+INDICADORES!O31</f>
        <v>0.9799848306084612</v>
      </c>
      <c r="N4" s="414"/>
    </row>
    <row r="5" spans="1:14" x14ac:dyDescent="0.25">
      <c r="A5" t="s">
        <v>294</v>
      </c>
      <c r="B5" s="414">
        <v>0.74</v>
      </c>
      <c r="C5" s="414">
        <v>0.74</v>
      </c>
      <c r="D5" s="414">
        <v>0.74</v>
      </c>
      <c r="E5" s="414">
        <v>0.74</v>
      </c>
      <c r="F5" s="414">
        <v>0.74</v>
      </c>
      <c r="G5" s="414">
        <v>0.74</v>
      </c>
      <c r="H5" s="414">
        <v>0.74</v>
      </c>
      <c r="I5" s="414">
        <v>0.74</v>
      </c>
      <c r="J5" s="414">
        <v>0.74</v>
      </c>
      <c r="K5" s="414">
        <v>0.74</v>
      </c>
      <c r="L5" s="414">
        <v>0.74</v>
      </c>
      <c r="M5" s="414">
        <v>0.74</v>
      </c>
    </row>
    <row r="23" spans="1:13" ht="18.75" x14ac:dyDescent="0.3">
      <c r="A23" s="425" t="s">
        <v>298</v>
      </c>
      <c r="B23" s="425"/>
      <c r="C23" s="425"/>
      <c r="D23" s="425"/>
      <c r="E23" s="425"/>
    </row>
    <row r="24" spans="1:13" x14ac:dyDescent="0.25">
      <c r="B24" t="s">
        <v>3</v>
      </c>
      <c r="C24" t="s">
        <v>4</v>
      </c>
      <c r="D24" t="s">
        <v>5</v>
      </c>
      <c r="E24" t="s">
        <v>6</v>
      </c>
      <c r="F24" t="s">
        <v>7</v>
      </c>
      <c r="G24" t="s">
        <v>8</v>
      </c>
      <c r="H24" t="s">
        <v>9</v>
      </c>
      <c r="I24" t="s">
        <v>10</v>
      </c>
      <c r="J24" t="s">
        <v>11</v>
      </c>
      <c r="K24" t="s">
        <v>12</v>
      </c>
      <c r="L24" t="s">
        <v>13</v>
      </c>
      <c r="M24" t="s">
        <v>14</v>
      </c>
    </row>
    <row r="25" spans="1:13" x14ac:dyDescent="0.25">
      <c r="A25" t="s">
        <v>24</v>
      </c>
      <c r="B25" s="413">
        <f>+INDICADORES!D52</f>
        <v>0.60460782652888367</v>
      </c>
      <c r="C25" s="413">
        <f>+INDICADORES!E52</f>
        <v>0.39628005198180638</v>
      </c>
      <c r="D25" s="413">
        <f>+INDICADORES!F52</f>
        <v>0.39335803122519186</v>
      </c>
      <c r="E25" s="413">
        <f>+INDICADORES!G52</f>
        <v>0.45984213524290013</v>
      </c>
      <c r="F25" s="413">
        <f>+INDICADORES!H52</f>
        <v>0.42581164475449423</v>
      </c>
      <c r="G25" s="413">
        <f>+INDICADORES!I52</f>
        <v>0.42595635724385678</v>
      </c>
      <c r="H25" s="413">
        <f>+INDICADORES!J52</f>
        <v>0.37337046454373007</v>
      </c>
      <c r="I25" s="413">
        <f>+INDICADORES!K52</f>
        <v>0.44998189936044408</v>
      </c>
      <c r="J25" s="413">
        <f>+INDICADORES!L52</f>
        <v>0.36590555691955151</v>
      </c>
      <c r="K25" s="413">
        <f>+INDICADORES!M52</f>
        <v>0.67385563380281688</v>
      </c>
      <c r="L25" s="413">
        <f>+INDICADORES!N52</f>
        <v>0.44234960767218834</v>
      </c>
      <c r="M25" s="413">
        <f>+INDICADORES!O52</f>
        <v>0.39583781227157416</v>
      </c>
    </row>
    <row r="26" spans="1:13" x14ac:dyDescent="0.25">
      <c r="A26" t="s">
        <v>295</v>
      </c>
      <c r="B26" s="414">
        <v>0.98</v>
      </c>
      <c r="C26" s="414">
        <v>0.98</v>
      </c>
      <c r="D26" s="414">
        <v>0.98</v>
      </c>
      <c r="E26" s="414">
        <v>0.98</v>
      </c>
      <c r="F26" s="414">
        <v>0.98</v>
      </c>
      <c r="G26" s="414">
        <v>0.98</v>
      </c>
      <c r="H26" s="414">
        <v>0.98</v>
      </c>
      <c r="I26" s="414">
        <v>0.98</v>
      </c>
      <c r="J26" s="414">
        <v>0.98</v>
      </c>
      <c r="K26" s="414">
        <v>0.98</v>
      </c>
      <c r="L26" s="414">
        <v>0.98</v>
      </c>
      <c r="M26" s="414">
        <v>0.98</v>
      </c>
    </row>
    <row r="45" spans="1:13" ht="18.75" x14ac:dyDescent="0.3">
      <c r="A45" s="425" t="s">
        <v>297</v>
      </c>
      <c r="B45" s="425"/>
      <c r="C45" s="425"/>
      <c r="D45" s="425"/>
      <c r="E45" s="425"/>
    </row>
    <row r="46" spans="1:13" x14ac:dyDescent="0.25">
      <c r="B46" t="s">
        <v>3</v>
      </c>
      <c r="C46" t="s">
        <v>4</v>
      </c>
      <c r="D46" t="s">
        <v>5</v>
      </c>
      <c r="E46" t="s">
        <v>6</v>
      </c>
      <c r="F46" t="s">
        <v>7</v>
      </c>
      <c r="G46" t="s">
        <v>8</v>
      </c>
      <c r="H46" t="s">
        <v>9</v>
      </c>
      <c r="I46" t="s">
        <v>10</v>
      </c>
      <c r="J46" t="s">
        <v>11</v>
      </c>
      <c r="K46" t="s">
        <v>12</v>
      </c>
      <c r="L46" t="s">
        <v>13</v>
      </c>
      <c r="M46" t="s">
        <v>14</v>
      </c>
    </row>
    <row r="47" spans="1:13" x14ac:dyDescent="0.25">
      <c r="A47" t="s">
        <v>296</v>
      </c>
      <c r="B47" s="413">
        <f>+INDICADORES!D91</f>
        <v>250.02714707125713</v>
      </c>
      <c r="C47" s="413">
        <f>+INDICADORES!E91</f>
        <v>193.07802600403571</v>
      </c>
      <c r="D47" s="413">
        <f>+INDICADORES!F91</f>
        <v>252.41038072673263</v>
      </c>
      <c r="E47" s="413">
        <f>+INDICADORES!G91</f>
        <v>224.88693010839179</v>
      </c>
      <c r="F47" s="413">
        <f>+INDICADORES!H91</f>
        <v>208.57012500312777</v>
      </c>
      <c r="G47" s="413">
        <f>+INDICADORES!I91</f>
        <v>239.24658467126264</v>
      </c>
      <c r="H47" s="413">
        <f>+INDICADORES!J91</f>
        <v>275.40355299948334</v>
      </c>
      <c r="I47" s="413">
        <f>+INDICADORES!K91</f>
        <v>265.41922376202348</v>
      </c>
      <c r="J47" s="413">
        <f>+INDICADORES!L91</f>
        <v>197.89083424840049</v>
      </c>
      <c r="K47" s="413">
        <f>+INDICADORES!M91</f>
        <v>258.88274810279393</v>
      </c>
      <c r="L47" s="413">
        <f>+INDICADORES!N91</f>
        <v>235.56572068576932</v>
      </c>
      <c r="M47" s="413">
        <f>+INDICADORES!O91</f>
        <v>265.24509484121216</v>
      </c>
    </row>
    <row r="48" spans="1:13" x14ac:dyDescent="0.25">
      <c r="A48" t="s">
        <v>295</v>
      </c>
      <c r="B48" s="414">
        <v>0.97</v>
      </c>
      <c r="C48" s="414">
        <v>0.97</v>
      </c>
      <c r="D48" s="414">
        <v>0.97</v>
      </c>
      <c r="E48" s="414">
        <v>0.97</v>
      </c>
      <c r="F48" s="414">
        <v>0.97</v>
      </c>
      <c r="G48" s="414">
        <v>0.97</v>
      </c>
      <c r="H48" s="414">
        <v>0.97</v>
      </c>
      <c r="I48" s="414">
        <v>0.97</v>
      </c>
      <c r="J48" s="414">
        <v>0.97</v>
      </c>
      <c r="K48" s="414">
        <v>0.97</v>
      </c>
      <c r="L48" s="414">
        <v>0.97</v>
      </c>
      <c r="M48" s="414">
        <v>0.97</v>
      </c>
    </row>
    <row r="67" spans="1:16" ht="18.75" x14ac:dyDescent="0.3">
      <c r="A67" s="425" t="s">
        <v>299</v>
      </c>
      <c r="B67" s="425"/>
      <c r="C67" s="425"/>
      <c r="D67" s="425"/>
      <c r="E67" s="425"/>
    </row>
    <row r="68" spans="1:16" x14ac:dyDescent="0.25">
      <c r="B68" t="s">
        <v>3</v>
      </c>
      <c r="C68" t="s">
        <v>4</v>
      </c>
      <c r="D68" t="s">
        <v>5</v>
      </c>
      <c r="E68" t="s">
        <v>6</v>
      </c>
      <c r="F68" t="s">
        <v>7</v>
      </c>
      <c r="G68" t="s">
        <v>8</v>
      </c>
      <c r="H68" t="s">
        <v>9</v>
      </c>
      <c r="I68" t="s">
        <v>10</v>
      </c>
      <c r="J68" t="s">
        <v>11</v>
      </c>
      <c r="K68" t="s">
        <v>12</v>
      </c>
      <c r="L68" t="s">
        <v>13</v>
      </c>
      <c r="M68" t="s">
        <v>14</v>
      </c>
    </row>
    <row r="69" spans="1:16" x14ac:dyDescent="0.25">
      <c r="A69" t="s">
        <v>300</v>
      </c>
      <c r="B69" s="415">
        <f>+INDICADORES!D95</f>
        <v>0.85141800337071094</v>
      </c>
      <c r="C69" s="415">
        <f>+INDICADORES!E95</f>
        <v>0.89268562273952212</v>
      </c>
      <c r="D69" s="415">
        <f>+INDICADORES!F95</f>
        <v>1.0623061197861996</v>
      </c>
      <c r="E69" s="415">
        <f>+INDICADORES!G95</f>
        <v>1.1030799385813668</v>
      </c>
      <c r="F69" s="415">
        <f>+INDICADORES!H95</f>
        <v>1.1522836385980264</v>
      </c>
      <c r="G69" s="415">
        <f>+INDICADORES!I95</f>
        <v>0.9074643684792929</v>
      </c>
      <c r="H69" s="415">
        <f>+INDICADORES!J95</f>
        <v>1.0261528635015573</v>
      </c>
      <c r="I69" s="415">
        <f>+INDICADORES!K95</f>
        <v>0.91557680647487116</v>
      </c>
      <c r="J69" s="415">
        <f>+INDICADORES!L95</f>
        <v>0.88584295764759957</v>
      </c>
      <c r="K69" s="415">
        <f>+INDICADORES!M95</f>
        <v>0.90883995579158661</v>
      </c>
      <c r="L69" s="415">
        <f>+INDICADORES!N95</f>
        <v>0.87102894043828272</v>
      </c>
      <c r="M69" s="415">
        <f>+INDICADORES!O95</f>
        <v>0.83706251526549202</v>
      </c>
    </row>
    <row r="70" spans="1:16" x14ac:dyDescent="0.25">
      <c r="A70" t="s">
        <v>301</v>
      </c>
      <c r="B70" s="415">
        <f>+INDICADORES!D97</f>
        <v>0.83282993891997292</v>
      </c>
      <c r="C70" s="415">
        <f>+INDICADORES!E97</f>
        <v>0.86852466610051726</v>
      </c>
      <c r="D70" s="415">
        <f>+INDICADORES!F97</f>
        <v>0.79974530048583203</v>
      </c>
      <c r="E70" s="415">
        <f>+INDICADORES!G97</f>
        <v>0.86690217850140161</v>
      </c>
      <c r="F70" s="415">
        <f>+INDICADORES!H97</f>
        <v>0.92019736898539617</v>
      </c>
      <c r="G70" s="415">
        <f>+INDICADORES!I97</f>
        <v>0.92294854360998357</v>
      </c>
      <c r="H70" s="415">
        <f>+INDICADORES!J97</f>
        <v>0.87392120094105419</v>
      </c>
      <c r="I70" s="415">
        <f>+INDICADORES!K97</f>
        <v>0.87688400438291747</v>
      </c>
      <c r="J70" s="415">
        <f>+INDICADORES!L97</f>
        <v>0.86196417276496273</v>
      </c>
      <c r="K70" s="415">
        <f>+INDICADORES!M97</f>
        <v>0.64109423046795821</v>
      </c>
      <c r="L70" s="415">
        <f>+INDICADORES!N97</f>
        <v>0.6473020091080528</v>
      </c>
      <c r="M70" s="415">
        <f>+INDICADORES!O97</f>
        <v>0.82030856723114565</v>
      </c>
    </row>
    <row r="75" spans="1:16" x14ac:dyDescent="0.25">
      <c r="O75" s="422"/>
      <c r="P75" s="422"/>
    </row>
    <row r="76" spans="1:16" x14ac:dyDescent="0.25">
      <c r="O76" s="422"/>
      <c r="P76" s="422"/>
    </row>
    <row r="77" spans="1:16" x14ac:dyDescent="0.25">
      <c r="O77" s="422"/>
      <c r="P77" s="422"/>
    </row>
    <row r="78" spans="1:16" x14ac:dyDescent="0.25">
      <c r="O78" s="422"/>
      <c r="P78" s="422"/>
    </row>
    <row r="79" spans="1:16" x14ac:dyDescent="0.25">
      <c r="O79" s="422"/>
      <c r="P79" s="422"/>
    </row>
    <row r="80" spans="1:16" x14ac:dyDescent="0.25">
      <c r="O80" s="422"/>
      <c r="P80" s="422"/>
    </row>
    <row r="81" spans="1:16" x14ac:dyDescent="0.25">
      <c r="O81" s="422"/>
      <c r="P81" s="422"/>
    </row>
    <row r="82" spans="1:16" x14ac:dyDescent="0.25">
      <c r="O82" s="422"/>
      <c r="P82" s="422"/>
    </row>
    <row r="83" spans="1:16" x14ac:dyDescent="0.25">
      <c r="O83" s="422"/>
      <c r="P83" s="422"/>
    </row>
    <row r="84" spans="1:16" x14ac:dyDescent="0.25">
      <c r="O84" s="422"/>
      <c r="P84" s="422"/>
    </row>
    <row r="85" spans="1:16" x14ac:dyDescent="0.25">
      <c r="O85" s="422"/>
      <c r="P85" s="422"/>
    </row>
    <row r="86" spans="1:16" x14ac:dyDescent="0.25">
      <c r="O86" s="422"/>
      <c r="P86" s="422"/>
    </row>
    <row r="87" spans="1:16" x14ac:dyDescent="0.25">
      <c r="O87" s="422"/>
      <c r="P87" s="422"/>
    </row>
    <row r="88" spans="1:16" x14ac:dyDescent="0.25">
      <c r="O88" s="422"/>
      <c r="P88" s="422"/>
    </row>
    <row r="89" spans="1:16" x14ac:dyDescent="0.25">
      <c r="O89" s="422"/>
      <c r="P89" s="422"/>
    </row>
    <row r="90" spans="1:16" x14ac:dyDescent="0.25">
      <c r="O90" s="422"/>
      <c r="P90" s="422"/>
    </row>
    <row r="92" spans="1:16" ht="18.75" x14ac:dyDescent="0.3">
      <c r="A92" s="425" t="s">
        <v>302</v>
      </c>
      <c r="B92" s="425"/>
      <c r="C92" s="425"/>
      <c r="D92" s="425"/>
      <c r="E92" s="425"/>
      <c r="L92" t="s">
        <v>314</v>
      </c>
    </row>
    <row r="93" spans="1:16" x14ac:dyDescent="0.25">
      <c r="B93" t="s">
        <v>3</v>
      </c>
      <c r="C93" t="s">
        <v>4</v>
      </c>
      <c r="D93" t="s">
        <v>5</v>
      </c>
      <c r="E93" t="s">
        <v>6</v>
      </c>
      <c r="F93" t="s">
        <v>7</v>
      </c>
      <c r="G93" t="s">
        <v>8</v>
      </c>
      <c r="H93" t="s">
        <v>9</v>
      </c>
      <c r="I93" t="s">
        <v>10</v>
      </c>
      <c r="J93" t="s">
        <v>11</v>
      </c>
      <c r="K93" t="s">
        <v>12</v>
      </c>
      <c r="L93" t="s">
        <v>13</v>
      </c>
      <c r="M93" t="s">
        <v>14</v>
      </c>
    </row>
    <row r="94" spans="1:16" x14ac:dyDescent="0.25">
      <c r="A94">
        <v>2016</v>
      </c>
      <c r="B94" s="415">
        <f>(+INDICADORES!D108)/1000</f>
        <v>235.60588318959202</v>
      </c>
      <c r="C94" s="415">
        <f>(+INDICADORES!E108)/1000</f>
        <v>244.01776102456378</v>
      </c>
      <c r="D94" s="415">
        <f>(+INDICADORES!F108)/1000</f>
        <v>213.12286088326374</v>
      </c>
      <c r="E94" s="415">
        <f>(+INDICADORES!G108)/1000</f>
        <v>256.6398272732755</v>
      </c>
      <c r="F94" s="415">
        <f>(+INDICADORES!H108)/1000</f>
        <v>300.9047050040071</v>
      </c>
      <c r="G94" s="415">
        <f>(+INDICADORES!I108)/1000</f>
        <v>210.90674858675564</v>
      </c>
      <c r="H94" s="415">
        <f>(+INDICADORES!J108)/1000</f>
        <v>240.30263892442531</v>
      </c>
      <c r="I94" s="415">
        <f>(+INDICADORES!K108)/1000</f>
        <v>224.27991329837783</v>
      </c>
      <c r="J94" s="415">
        <f>(+INDICADORES!L108)/1000</f>
        <v>254.51720389435738</v>
      </c>
      <c r="K94" s="415">
        <f>(+INDICADORES!M108)/1000</f>
        <v>209.34930820963157</v>
      </c>
      <c r="L94" s="415">
        <f>(+INDICADORES!N108)/1000</f>
        <v>248.26088303427292</v>
      </c>
      <c r="M94" s="415">
        <f>(+INDICADORES!O108)/1000</f>
        <v>263.47195487578909</v>
      </c>
    </row>
    <row r="95" spans="1:16" x14ac:dyDescent="0.25">
      <c r="A95">
        <v>2017</v>
      </c>
      <c r="B95" s="415">
        <f>(+INDICADORES!D107)/1000</f>
        <v>233.24982435769607</v>
      </c>
      <c r="C95" s="415">
        <f>(+INDICADORES!E107)/1000</f>
        <v>241.57758341431813</v>
      </c>
      <c r="D95" s="415">
        <f>(+INDICADORES!F107)/1000</f>
        <v>210.99163227443111</v>
      </c>
      <c r="E95" s="415">
        <f>(+INDICADORES!G107)/1000</f>
        <v>254.07342900054275</v>
      </c>
      <c r="F95" s="415">
        <f>(+INDICADORES!H107)/1000</f>
        <v>297.89565795396697</v>
      </c>
      <c r="G95" s="415">
        <f>(+INDICADORES!I107)/1000</f>
        <v>208.7976811008881</v>
      </c>
      <c r="H95" s="415">
        <f>(+INDICADORES!J107)/1000</f>
        <v>237.89961253518106</v>
      </c>
      <c r="I95" s="415">
        <f>(+INDICADORES!K107)/1000</f>
        <v>222.03711416539403</v>
      </c>
      <c r="J95" s="415">
        <f>(+INDICADORES!L107)/1000</f>
        <v>251.9720318554138</v>
      </c>
      <c r="K95" s="415">
        <f>(+INDICADORES!M107)/1000</f>
        <v>207.25581512753527</v>
      </c>
      <c r="L95" s="415">
        <f>(+INDICADORES!N107)/1000</f>
        <v>245.77827420393021</v>
      </c>
      <c r="M95" s="415">
        <f>(+INDICADORES!O107)/1000</f>
        <v>260.83723532703124</v>
      </c>
    </row>
    <row r="96" spans="1:16" x14ac:dyDescent="0.25">
      <c r="A96">
        <v>2018</v>
      </c>
      <c r="B96" s="415">
        <f>(+INDICADORES!D106)/1000</f>
        <v>230.91732611411911</v>
      </c>
      <c r="C96" s="415">
        <f>(+INDICADORES!E106)/1000</f>
        <v>239.16180758017492</v>
      </c>
      <c r="D96" s="415">
        <f>(+INDICADORES!F106)/1000</f>
        <v>208.8817159516868</v>
      </c>
      <c r="E96" s="415">
        <f>(+INDICADORES!G106)/1000</f>
        <v>251.5326947105373</v>
      </c>
      <c r="F96" s="415">
        <f>(+INDICADORES!H106)/1000</f>
        <v>294.9167013744273</v>
      </c>
      <c r="G96" s="415">
        <f>(+INDICADORES!I106)/1000</f>
        <v>206.70970428987923</v>
      </c>
      <c r="H96" s="415">
        <f>(+INDICADORES!J106)/1000</f>
        <v>235.52061640982927</v>
      </c>
      <c r="I96" s="415">
        <f>(+INDICADORES!K106)/1000</f>
        <v>219.81674302374009</v>
      </c>
      <c r="J96" s="415">
        <f>(+INDICADORES!L106)/1000</f>
        <v>249.45231153685967</v>
      </c>
      <c r="K96" s="415">
        <f>(+INDICADORES!M106)/1000</f>
        <v>205.18325697625991</v>
      </c>
      <c r="L96" s="415">
        <f>(+INDICADORES!N106)/1000</f>
        <v>243.3204914618909</v>
      </c>
      <c r="M96" s="415">
        <f>(+INDICADORES!O106)/1000</f>
        <v>258.22886297376095</v>
      </c>
    </row>
    <row r="97" spans="1:17" x14ac:dyDescent="0.25">
      <c r="A97">
        <v>2019</v>
      </c>
      <c r="B97" s="415">
        <f>(+INDICADORES!D105)/1000</f>
        <v>226.29897959183674</v>
      </c>
      <c r="C97" s="415">
        <f>(+INDICADORES!E105)/1000</f>
        <v>234.37857142857143</v>
      </c>
      <c r="D97" s="415">
        <f>(+INDICADORES!F105)/1000</f>
        <v>204.70408163265307</v>
      </c>
      <c r="E97" s="415">
        <f>(+INDICADORES!G105)/1000</f>
        <v>246.50204081632654</v>
      </c>
      <c r="F97" s="415">
        <f>(+INDICADORES!H105)/1000</f>
        <v>289.01836734693876</v>
      </c>
      <c r="G97" s="415">
        <f>(+INDICADORES!I105)/1000</f>
        <v>202.57551020408164</v>
      </c>
      <c r="H97" s="415">
        <f>(+INDICADORES!J105)/1000</f>
        <v>230.81020408163266</v>
      </c>
      <c r="I97" s="415">
        <f>(+INDICADORES!K105)/1000</f>
        <v>215.42040816326531</v>
      </c>
      <c r="J97" s="415">
        <f>(+INDICADORES!L105)/1000</f>
        <v>244.46326530612245</v>
      </c>
      <c r="K97" s="415">
        <f>(+INDICADORES!M105)/1000</f>
        <v>201.07959183673469</v>
      </c>
      <c r="L97" s="415">
        <f>(+INDICADORES!N105)/1000</f>
        <v>238.45408163265307</v>
      </c>
      <c r="M97" s="415">
        <f>(+INDICADORES!O105)/1000</f>
        <v>253.06428571428572</v>
      </c>
    </row>
    <row r="98" spans="1:17" x14ac:dyDescent="0.25">
      <c r="A98">
        <v>2020</v>
      </c>
      <c r="B98" s="415">
        <f>(+INDICADORES!D104)/1000</f>
        <v>221.773</v>
      </c>
      <c r="C98" s="415">
        <f>(+INDICADORES!E104)/1000</f>
        <v>229.691</v>
      </c>
      <c r="D98" s="415">
        <f>(+INDICADORES!F104)/1000</f>
        <v>200.61</v>
      </c>
      <c r="E98" s="415">
        <f>(+INDICADORES!G104)/1000</f>
        <v>241.572</v>
      </c>
      <c r="F98" s="415">
        <f>(+INDICADORES!H104)/1000</f>
        <v>283.238</v>
      </c>
      <c r="G98" s="415">
        <f>(+INDICADORES!I104)/1000</f>
        <v>198.524</v>
      </c>
      <c r="H98" s="415">
        <f>(+INDICADORES!J104)/1000</f>
        <v>226.19399999999999</v>
      </c>
      <c r="I98" s="415">
        <f>(+INDICADORES!K104)/1000</f>
        <v>211.11199999999999</v>
      </c>
      <c r="J98" s="415">
        <f>(+INDICADORES!L104)/1000</f>
        <v>239.57400000000001</v>
      </c>
      <c r="K98" s="415">
        <f>(+INDICADORES!M104)/1000</f>
        <v>197.05799999999999</v>
      </c>
      <c r="L98" s="415">
        <f>(+INDICADORES!N104)/1000</f>
        <v>233.685</v>
      </c>
      <c r="M98" s="415">
        <f>(+INDICADORES!O104)/1000</f>
        <v>248.00299999999999</v>
      </c>
    </row>
    <row r="99" spans="1:17" x14ac:dyDescent="0.25">
      <c r="J99" t="s">
        <v>314</v>
      </c>
    </row>
    <row r="101" spans="1:17" x14ac:dyDescent="0.25">
      <c r="Q101" s="415"/>
    </row>
    <row r="102" spans="1:17" x14ac:dyDescent="0.25">
      <c r="Q102" s="415"/>
    </row>
    <row r="103" spans="1:17" x14ac:dyDescent="0.25">
      <c r="Q103" s="415"/>
    </row>
    <row r="104" spans="1:17" x14ac:dyDescent="0.25">
      <c r="Q104" s="415"/>
    </row>
    <row r="117" spans="1:13" ht="18.75" x14ac:dyDescent="0.3">
      <c r="A117" s="425" t="s">
        <v>308</v>
      </c>
      <c r="B117" s="425"/>
      <c r="C117" s="425"/>
      <c r="D117" s="425"/>
      <c r="E117" s="425"/>
      <c r="L117" t="s">
        <v>314</v>
      </c>
    </row>
    <row r="118" spans="1:13" x14ac:dyDescent="0.25">
      <c r="B118" t="s">
        <v>3</v>
      </c>
      <c r="C118" t="s">
        <v>4</v>
      </c>
      <c r="D118" t="s">
        <v>5</v>
      </c>
      <c r="E118" t="s">
        <v>6</v>
      </c>
      <c r="F118" t="s">
        <v>7</v>
      </c>
      <c r="G118" t="s">
        <v>8</v>
      </c>
      <c r="H118" t="s">
        <v>9</v>
      </c>
      <c r="I118" t="s">
        <v>10</v>
      </c>
      <c r="J118" t="s">
        <v>11</v>
      </c>
      <c r="K118" t="s">
        <v>12</v>
      </c>
      <c r="L118" t="s">
        <v>13</v>
      </c>
      <c r="M118" t="s">
        <v>14</v>
      </c>
    </row>
    <row r="119" spans="1:13" x14ac:dyDescent="0.25">
      <c r="A119" t="s">
        <v>306</v>
      </c>
      <c r="B119" s="415">
        <f>(+INDICADORES!D171)/1000</f>
        <v>1.177</v>
      </c>
      <c r="C119" s="415">
        <f>(+INDICADORES!E171)/1000</f>
        <v>1.08</v>
      </c>
      <c r="D119" s="415">
        <f>(+INDICADORES!F171)/1000</f>
        <v>1.08</v>
      </c>
      <c r="E119" s="415">
        <f>(+INDICADORES!G171)/1000</f>
        <v>1.08</v>
      </c>
      <c r="F119" s="415">
        <f>(+INDICADORES!H171)/1000</f>
        <v>1.0860000000000001</v>
      </c>
      <c r="G119" s="415">
        <f>(+INDICADORES!I171)/1000</f>
        <v>1.087</v>
      </c>
      <c r="H119" s="415">
        <f>(+INDICADORES!J171)/1000</f>
        <v>1.0880000000000001</v>
      </c>
      <c r="I119" s="415">
        <f>(+INDICADORES!K171)/1000</f>
        <v>1.091</v>
      </c>
      <c r="J119" s="415">
        <f>(+INDICADORES!L171)/1000</f>
        <v>1.095</v>
      </c>
      <c r="K119" s="415">
        <f>(+INDICADORES!M171)/1000</f>
        <v>1.097</v>
      </c>
      <c r="L119" s="415">
        <f>(+INDICADORES!N171)/1000</f>
        <v>1.097</v>
      </c>
      <c r="M119" s="415">
        <f>(+INDICADORES!O171)/1000</f>
        <v>1.0960000000000001</v>
      </c>
    </row>
    <row r="120" spans="1:13" x14ac:dyDescent="0.25">
      <c r="A120" t="s">
        <v>304</v>
      </c>
      <c r="B120" s="415">
        <f>(+INDICADORES!D172)/1000</f>
        <v>258.375</v>
      </c>
      <c r="C120" s="415">
        <f>(+INDICADORES!E172)/1000</f>
        <v>259.20648</v>
      </c>
      <c r="D120" s="415">
        <f>(+INDICADORES!F172)/1000</f>
        <v>259.41708</v>
      </c>
      <c r="E120" s="415">
        <f>(+INDICADORES!G172)/1000</f>
        <v>260.16744</v>
      </c>
      <c r="F120" s="415">
        <f>(+INDICADORES!H172)/1000</f>
        <v>260.55588</v>
      </c>
      <c r="G120" s="415">
        <f>(+INDICADORES!I172)/1000</f>
        <v>260.86008000000004</v>
      </c>
      <c r="H120" s="415">
        <f>(+INDICADORES!J172)/1000</f>
        <v>261.18144000000001</v>
      </c>
      <c r="I120" s="415">
        <f>(+INDICADORES!K172)/1000</f>
        <v>261.62837999999999</v>
      </c>
      <c r="J120" s="415">
        <f>(+INDICADORES!L172)/1000</f>
        <v>261.83897999999999</v>
      </c>
      <c r="K120" s="415">
        <f>(+INDICADORES!M172)/1000</f>
        <v>261.76799999999997</v>
      </c>
      <c r="L120" s="415">
        <f>(+INDICADORES!N172)/1000</f>
        <v>262.60494</v>
      </c>
      <c r="M120" s="415">
        <f>(+INDICADORES!O172)/1000</f>
        <v>262.69854000000004</v>
      </c>
    </row>
    <row r="121" spans="1:13" x14ac:dyDescent="0.25">
      <c r="A121" t="s">
        <v>305</v>
      </c>
      <c r="B121" s="415">
        <f>(+INDICADORES!D169)/1000</f>
        <v>1.1639999999999999</v>
      </c>
      <c r="C121" s="415">
        <f>(+INDICADORES!E169)/1000</f>
        <v>1.1639999999999999</v>
      </c>
      <c r="D121" s="415">
        <f>(+INDICADORES!F169)/1000</f>
        <v>1.1639999999999999</v>
      </c>
      <c r="E121" s="415">
        <f>(+INDICADORES!G169)/1000</f>
        <v>1.169</v>
      </c>
      <c r="F121" s="415">
        <f>(+INDICADORES!H169)/1000</f>
        <v>1.1859999999999999</v>
      </c>
      <c r="G121" s="415">
        <f>(+INDICADORES!I169)/1000</f>
        <v>1.1859999999999999</v>
      </c>
      <c r="H121" s="415">
        <f>(+INDICADORES!J169)/1000</f>
        <v>1.1859999999999999</v>
      </c>
      <c r="I121" s="415">
        <f>(+INDICADORES!K169)/1000</f>
        <v>1.1859999999999999</v>
      </c>
      <c r="J121" s="415">
        <f>(+INDICADORES!L169)/1000</f>
        <v>1.1879999999999999</v>
      </c>
      <c r="K121" s="415">
        <f>(+INDICADORES!M169)/1000</f>
        <v>1.1879999999999999</v>
      </c>
      <c r="L121" s="415">
        <f>(+INDICADORES!N169)/1000</f>
        <v>1.1879999999999999</v>
      </c>
      <c r="M121" s="415">
        <f>(+INDICADORES!O169)/1000</f>
        <v>1.1879999999999999</v>
      </c>
    </row>
    <row r="122" spans="1:13" x14ac:dyDescent="0.25">
      <c r="B122" s="415"/>
      <c r="C122" s="415"/>
      <c r="D122" s="415"/>
      <c r="E122" s="415"/>
      <c r="F122" s="415"/>
      <c r="G122" s="415"/>
      <c r="H122" s="415"/>
      <c r="I122" s="415"/>
      <c r="J122" s="415" t="s">
        <v>314</v>
      </c>
      <c r="K122" s="415"/>
      <c r="L122" s="415"/>
      <c r="M122" s="415"/>
    </row>
    <row r="123" spans="1:13" x14ac:dyDescent="0.25">
      <c r="B123" s="415"/>
      <c r="C123" s="415"/>
      <c r="D123" s="415"/>
      <c r="E123" s="415"/>
      <c r="F123" s="415"/>
      <c r="G123" s="415"/>
      <c r="H123" s="415"/>
      <c r="I123" s="415"/>
      <c r="J123" s="415"/>
      <c r="K123" s="415"/>
      <c r="L123" s="415"/>
      <c r="M123" s="415"/>
    </row>
    <row r="143" spans="1:13" ht="18.75" x14ac:dyDescent="0.3">
      <c r="A143" s="425" t="s">
        <v>307</v>
      </c>
      <c r="B143" s="425"/>
      <c r="C143" s="425"/>
      <c r="D143" s="425"/>
      <c r="E143" s="424"/>
    </row>
    <row r="144" spans="1:13" x14ac:dyDescent="0.25">
      <c r="B144" t="s">
        <v>3</v>
      </c>
      <c r="C144" t="s">
        <v>4</v>
      </c>
      <c r="D144" t="s">
        <v>5</v>
      </c>
      <c r="E144" t="s">
        <v>6</v>
      </c>
      <c r="F144" t="s">
        <v>7</v>
      </c>
      <c r="G144" t="s">
        <v>8</v>
      </c>
      <c r="H144" t="s">
        <v>9</v>
      </c>
      <c r="I144" t="s">
        <v>10</v>
      </c>
      <c r="J144" t="s">
        <v>11</v>
      </c>
      <c r="K144" t="s">
        <v>12</v>
      </c>
      <c r="L144" t="s">
        <v>13</v>
      </c>
      <c r="M144" t="s">
        <v>14</v>
      </c>
    </row>
    <row r="145" spans="1:13" x14ac:dyDescent="0.25">
      <c r="A145" t="s">
        <v>309</v>
      </c>
      <c r="B145" s="419">
        <f>+INDICADORES!D214</f>
        <v>4.2480883602378929</v>
      </c>
      <c r="C145" s="419">
        <f>+INDICADORES!E214</f>
        <v>4.6296296296296298</v>
      </c>
      <c r="D145" s="419">
        <f>+INDICADORES!F214</f>
        <v>4.6296296296296298</v>
      </c>
      <c r="E145" s="419">
        <f>+INDICADORES!G214</f>
        <v>4.6296296296296298</v>
      </c>
      <c r="F145" s="419">
        <f>+INDICADORES!H214</f>
        <v>3.6832412523020257</v>
      </c>
      <c r="G145" s="419">
        <f>+INDICADORES!I214</f>
        <v>3.6798528058877644</v>
      </c>
      <c r="H145" s="419">
        <f>+INDICADORES!J214</f>
        <v>3.6764705882352939</v>
      </c>
      <c r="I145" s="419">
        <f>+INDICADORES!K214</f>
        <v>4.5829514207149407</v>
      </c>
      <c r="J145" s="419">
        <f>+INDICADORES!L214</f>
        <v>4.5662100456621006</v>
      </c>
      <c r="K145" s="419">
        <f>+INDICADORES!M214</f>
        <v>4.5578851412944399</v>
      </c>
      <c r="L145" s="419">
        <f>+INDICADORES!N214</f>
        <v>3.6463081130355515</v>
      </c>
      <c r="M145" s="419">
        <f>+INDICADORES!O214</f>
        <v>4.5620437956204372</v>
      </c>
    </row>
    <row r="146" spans="1:13" x14ac:dyDescent="0.25">
      <c r="A146" t="s">
        <v>294</v>
      </c>
      <c r="B146">
        <v>1.68</v>
      </c>
      <c r="C146">
        <v>1.68</v>
      </c>
      <c r="D146">
        <v>1.68</v>
      </c>
      <c r="E146">
        <v>1.68</v>
      </c>
      <c r="F146">
        <v>1.68</v>
      </c>
      <c r="G146">
        <v>1.68</v>
      </c>
      <c r="H146">
        <v>1.68</v>
      </c>
      <c r="I146">
        <v>1.68</v>
      </c>
      <c r="J146">
        <v>1.68</v>
      </c>
      <c r="K146">
        <v>1.68</v>
      </c>
      <c r="L146">
        <v>1.68</v>
      </c>
      <c r="M146">
        <v>1.68</v>
      </c>
    </row>
    <row r="173" spans="1:13" ht="18.75" x14ac:dyDescent="0.3">
      <c r="A173" s="425" t="s">
        <v>310</v>
      </c>
      <c r="B173" s="425"/>
      <c r="C173" s="425"/>
      <c r="D173" s="425"/>
      <c r="E173" s="425"/>
    </row>
    <row r="174" spans="1:13" x14ac:dyDescent="0.25">
      <c r="B174" t="s">
        <v>3</v>
      </c>
      <c r="C174" t="s">
        <v>4</v>
      </c>
      <c r="D174" t="s">
        <v>5</v>
      </c>
      <c r="E174" t="s">
        <v>6</v>
      </c>
      <c r="F174" t="s">
        <v>7</v>
      </c>
      <c r="G174" t="s">
        <v>8</v>
      </c>
      <c r="H174" t="s">
        <v>9</v>
      </c>
      <c r="I174" t="s">
        <v>10</v>
      </c>
      <c r="J174" t="s">
        <v>11</v>
      </c>
      <c r="K174" t="s">
        <v>12</v>
      </c>
      <c r="L174" t="s">
        <v>13</v>
      </c>
      <c r="M174" t="s">
        <v>14</v>
      </c>
    </row>
    <row r="175" spans="1:13" ht="17.25" x14ac:dyDescent="0.25">
      <c r="A175" t="s">
        <v>311</v>
      </c>
      <c r="B175" s="418">
        <f>+INDICADORES!D157</f>
        <v>0.90417995774472848</v>
      </c>
      <c r="C175" s="418">
        <f>+INDICADORES!E157</f>
        <v>0.86261804101307837</v>
      </c>
      <c r="D175" s="418">
        <f>+INDICADORES!F157</f>
        <v>0.80838701108971378</v>
      </c>
      <c r="E175" s="418">
        <f>+INDICADORES!G157</f>
        <v>0.81754812304150415</v>
      </c>
      <c r="F175" s="418">
        <f>+INDICADORES!H157</f>
        <v>0.85705102696746149</v>
      </c>
      <c r="G175" s="418">
        <f>+INDICADORES!I157</f>
        <v>1.034903606965174</v>
      </c>
      <c r="H175" s="418">
        <f>+INDICADORES!J157</f>
        <v>0.87914082589623355</v>
      </c>
      <c r="I175" s="418">
        <f>+INDICADORES!K157</f>
        <v>0.88801140303567305</v>
      </c>
      <c r="J175" s="418">
        <f>+INDICADORES!L157</f>
        <v>0.87465657973322719</v>
      </c>
      <c r="K175" s="418">
        <f>+INDICADORES!M157</f>
        <v>0.92633989211006329</v>
      </c>
      <c r="L175" s="418">
        <f>+INDICADORES!N157</f>
        <v>0.955416076128771</v>
      </c>
      <c r="M175" s="418">
        <f>+INDICADORES!O157</f>
        <v>0.93818472947918419</v>
      </c>
    </row>
    <row r="176" spans="1:13" x14ac:dyDescent="0.25">
      <c r="A176" t="s">
        <v>312</v>
      </c>
      <c r="B176" s="418">
        <f>+INDICADORES!D161</f>
        <v>3.0381403118040091</v>
      </c>
      <c r="C176" s="418">
        <f>+INDICADORES!E161</f>
        <v>3.2319763138415989</v>
      </c>
      <c r="D176" s="418">
        <f>+INDICADORES!F161</f>
        <v>3.0464214214214214</v>
      </c>
      <c r="E176" s="418">
        <f>+INDICADORES!G161</f>
        <v>3.0358584659225838</v>
      </c>
      <c r="F176" s="418">
        <f>+INDICADORES!H161</f>
        <v>2.8948511166253104</v>
      </c>
      <c r="G176" s="418">
        <f>+INDICADORES!I161</f>
        <v>2.9385277563182872</v>
      </c>
      <c r="H176" s="418">
        <f>+INDICADORES!J161</f>
        <v>3.1016004742145822</v>
      </c>
      <c r="I176" s="418">
        <f>+INDICADORES!K161</f>
        <v>3.0640701847667153</v>
      </c>
      <c r="J176" s="418">
        <f>+INDICADORES!L161</f>
        <v>3.3003305288461537</v>
      </c>
      <c r="K176" s="418">
        <f>+INDICADORES!M161</f>
        <v>3.4122944960686206</v>
      </c>
      <c r="L176" s="418">
        <f>+INDICADORES!N161</f>
        <v>3.4651196945219565</v>
      </c>
      <c r="M176" s="418">
        <f>+INDICADORES!O161</f>
        <v>3.3622772576260949</v>
      </c>
    </row>
    <row r="177" spans="1:13" ht="17.25" x14ac:dyDescent="0.25">
      <c r="A177" t="s">
        <v>313</v>
      </c>
      <c r="B177" s="418">
        <f>+INDICADORES!D160</f>
        <v>0.29760967728572019</v>
      </c>
      <c r="C177" s="418">
        <f>+INDICADORES!E160</f>
        <v>0.26690110237464931</v>
      </c>
      <c r="D177" s="418">
        <f>+INDICADORES!F160</f>
        <v>0.26535626535626533</v>
      </c>
      <c r="E177" s="418">
        <f>+INDICADORES!G160</f>
        <v>0.26929717976593975</v>
      </c>
      <c r="F177" s="418">
        <f>+INDICADORES!H160</f>
        <v>0.29606048547552727</v>
      </c>
      <c r="G177" s="418">
        <f>+INDICADORES!I160</f>
        <v>0.35218439054726369</v>
      </c>
      <c r="H177" s="418">
        <f>+INDICADORES!J160</f>
        <v>0.28993228611693533</v>
      </c>
      <c r="I177" s="418">
        <f>+INDICADORES!K160</f>
        <v>0.28981431543262193</v>
      </c>
      <c r="J177" s="418">
        <f>+INDICADORES!L160</f>
        <v>0.26502090384232529</v>
      </c>
      <c r="K177" s="418">
        <f>+INDICADORES!M160</f>
        <v>0.27147126169131058</v>
      </c>
      <c r="L177" s="418">
        <f>+INDICADORES!N160</f>
        <v>0.27572383073496659</v>
      </c>
      <c r="M177" s="418">
        <f>+INDICADORES!O160</f>
        <v>0.27903252991741107</v>
      </c>
    </row>
    <row r="199" spans="1:13" ht="21" x14ac:dyDescent="0.3">
      <c r="A199" s="425" t="s">
        <v>320</v>
      </c>
      <c r="B199" s="425"/>
      <c r="C199" s="425"/>
      <c r="D199" s="425"/>
      <c r="E199" s="425"/>
    </row>
    <row r="200" spans="1:13" x14ac:dyDescent="0.25">
      <c r="B200" t="s">
        <v>3</v>
      </c>
      <c r="C200" t="s">
        <v>4</v>
      </c>
      <c r="D200" t="s">
        <v>5</v>
      </c>
      <c r="E200" t="s">
        <v>6</v>
      </c>
      <c r="F200" t="s">
        <v>7</v>
      </c>
      <c r="G200" t="s">
        <v>8</v>
      </c>
      <c r="H200" t="s">
        <v>9</v>
      </c>
      <c r="I200" t="s">
        <v>10</v>
      </c>
      <c r="J200" t="s">
        <v>11</v>
      </c>
      <c r="K200" t="s">
        <v>12</v>
      </c>
      <c r="L200" t="s">
        <v>13</v>
      </c>
      <c r="M200" t="s">
        <v>14</v>
      </c>
    </row>
    <row r="201" spans="1:13" x14ac:dyDescent="0.25">
      <c r="A201" t="s">
        <v>316</v>
      </c>
      <c r="B201" s="423">
        <f>(+INDICADORES!D55+INDICADORES!D61)/(INDICADORES!D13+INDICADORES!D25)</f>
        <v>7.7190263425376937</v>
      </c>
      <c r="C201" s="423">
        <f>(+INDICADORES!E55+INDICADORES!E61)/(INDICADORES!E13+INDICADORES!E25)</f>
        <v>8.6791146848602985</v>
      </c>
      <c r="D201" s="423">
        <f>(+INDICADORES!F55+INDICADORES!F61)/(INDICADORES!F13+INDICADORES!F25)</f>
        <v>7.9582415983064312</v>
      </c>
      <c r="E201" s="423">
        <f>(+INDICADORES!G55+INDICADORES!G61)/(INDICADORES!G13+INDICADORES!G25)</f>
        <v>8.1791903328179671</v>
      </c>
      <c r="F201" s="423">
        <f>(+INDICADORES!H55+INDICADORES!H61)/(INDICADORES!H13+INDICADORES!H25)</f>
        <v>8.7161911150293232</v>
      </c>
      <c r="G201" s="423">
        <f>(+INDICADORES!I55+INDICADORES!I61)/(INDICADORES!I13+INDICADORES!I25)</f>
        <v>8.5281618068559624</v>
      </c>
      <c r="H201" s="423">
        <f>(+INDICADORES!J55+INDICADORES!J61)/(INDICADORES!J13+INDICADORES!J25)</f>
        <v>8.3858869112483347</v>
      </c>
      <c r="I201" s="423">
        <f>(+INDICADORES!K55+INDICADORES!K61)/(INDICADORES!K13+INDICADORES!K25)</f>
        <v>8.6700977434536011</v>
      </c>
      <c r="J201" s="423">
        <f>(+INDICADORES!L55+INDICADORES!L61)/(INDICADORES!L13+INDICADORES!L25)</f>
        <v>11.038612816106063</v>
      </c>
      <c r="K201" s="423">
        <f>(+INDICADORES!M55+INDICADORES!M61)/(INDICADORES!M13+INDICADORES!M25)</f>
        <v>11.814160431338028</v>
      </c>
      <c r="L201" s="423">
        <f>(+INDICADORES!N55+INDICADORES!N61)/(INDICADORES!N13+INDICADORES!N25)</f>
        <v>11.954608217088058</v>
      </c>
      <c r="M201" s="423">
        <f>(+INDICADORES!O55+INDICADORES!O61)/(INDICADORES!O13+INDICADORES!O25)</f>
        <v>8.7749722664144123</v>
      </c>
    </row>
    <row r="202" spans="1:13" x14ac:dyDescent="0.25">
      <c r="A202" t="s">
        <v>318</v>
      </c>
      <c r="B202" s="423">
        <f>(PIGOO!B21/PIGOO!B65)</f>
        <v>4.4337250921744893</v>
      </c>
      <c r="C202" s="423">
        <f>(PIGOO!C21/PIGOO!C65)</f>
        <v>7.0616140503378251</v>
      </c>
      <c r="D202" s="423">
        <f>(PIGOO!D21/PIGOO!D65)</f>
        <v>4.4530719171259712</v>
      </c>
      <c r="E202" s="423">
        <f>(PIGOO!E21/PIGOO!E65)</f>
        <v>5.47385911619876</v>
      </c>
      <c r="F202" s="423">
        <f>(PIGOO!F21/PIGOO!F65)</f>
        <v>4.7012366463619939</v>
      </c>
      <c r="G202" s="423">
        <f>(PIGOO!G21/PIGOO!G65)</f>
        <v>5.7445203669154239</v>
      </c>
      <c r="H202" s="423">
        <f>(PIGOO!H21/PIGOO!H65)</f>
        <v>5.2944460866875191</v>
      </c>
      <c r="I202" s="423">
        <f>(PIGOO!I21/PIGOO!I65)</f>
        <v>6.7094726096001231</v>
      </c>
      <c r="J202" s="423">
        <f>(PIGOO!J21/PIGOO!J65)</f>
        <v>6.2912976308978683</v>
      </c>
      <c r="K202" s="423">
        <f>(PIGOO!K21/PIGOO!K65)</f>
        <v>9.1500294950906191</v>
      </c>
      <c r="L202" s="423">
        <f>(PIGOO!L21/PIGOO!L65)</f>
        <v>13.449821016400081</v>
      </c>
      <c r="M202" s="423">
        <f>(PIGOO!M21/PIGOO!M65)</f>
        <v>12.422031012978255</v>
      </c>
    </row>
    <row r="203" spans="1:13" x14ac:dyDescent="0.25">
      <c r="A203" t="s">
        <v>319</v>
      </c>
      <c r="B203" s="423">
        <f>((PIGOO!B21+PIGOO!B34)/PIGOO!B65)</f>
        <v>4.4337250921744893</v>
      </c>
      <c r="C203" s="423">
        <f>((PIGOO!C21+PIGOO!C34)/PIGOO!C65)</f>
        <v>7.0616140503378251</v>
      </c>
      <c r="D203" s="423">
        <f>((PIGOO!D21+PIGOO!D34)/PIGOO!D65)</f>
        <v>4.4530719171259712</v>
      </c>
      <c r="E203" s="423">
        <f>((PIGOO!E21+PIGOO!E34)/PIGOO!E65)</f>
        <v>5.47385911619876</v>
      </c>
      <c r="F203" s="423">
        <f>((PIGOO!F21+PIGOO!F34)/PIGOO!F65)</f>
        <v>4.7012366463619939</v>
      </c>
      <c r="G203" s="423">
        <f>((PIGOO!G21+PIGOO!G34)/PIGOO!G65)</f>
        <v>5.7445203669154239</v>
      </c>
      <c r="H203" s="423">
        <f>((PIGOO!H21+PIGOO!H34)/PIGOO!H65)</f>
        <v>5.2944460866875191</v>
      </c>
      <c r="I203" s="423">
        <f>((PIGOO!I21+PIGOO!I34)/PIGOO!I65)</f>
        <v>6.7094726096001231</v>
      </c>
      <c r="J203" s="423">
        <f>((PIGOO!J21+PIGOO!J34)/PIGOO!J65)</f>
        <v>6.2912976308978683</v>
      </c>
      <c r="K203" s="423">
        <f>((PIGOO!K21+PIGOO!K34)/PIGOO!K65)</f>
        <v>9.1500294950906191</v>
      </c>
      <c r="L203" s="423">
        <f>((PIGOO!L21+PIGOO!L34)/PIGOO!L65)</f>
        <v>13.449821016400081</v>
      </c>
      <c r="M203" s="423">
        <f>((PIGOO!M21+PIGOO!M34)/PIGOO!M65)</f>
        <v>12.422031012978255</v>
      </c>
    </row>
  </sheetData>
  <phoneticPr fontId="47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"/>
  <sheetViews>
    <sheetView workbookViewId="0">
      <selection activeCell="G10" sqref="G10"/>
    </sheetView>
  </sheetViews>
  <sheetFormatPr baseColWidth="10" defaultRowHeight="15" x14ac:dyDescent="0.25"/>
  <cols>
    <col min="1" max="1" width="11.85546875" bestFit="1" customWidth="1"/>
  </cols>
  <sheetData>
    <row r="2" spans="1:9" ht="35.25" customHeight="1" x14ac:dyDescent="0.25">
      <c r="A2" s="503" t="s">
        <v>322</v>
      </c>
      <c r="B2" s="503"/>
      <c r="C2" s="503"/>
      <c r="D2" s="503"/>
      <c r="E2" s="503"/>
      <c r="F2" s="503"/>
      <c r="G2" s="503"/>
      <c r="H2" s="503"/>
      <c r="I2" s="503"/>
    </row>
    <row r="3" spans="1:9" ht="24.75" customHeight="1" x14ac:dyDescent="0.25">
      <c r="A3" s="503" t="s">
        <v>323</v>
      </c>
      <c r="B3" s="503"/>
      <c r="C3" s="503"/>
      <c r="D3" s="503"/>
      <c r="E3" s="503"/>
      <c r="F3" s="503"/>
      <c r="G3" s="503"/>
      <c r="H3" s="503"/>
      <c r="I3" s="503"/>
    </row>
    <row r="4" spans="1:9" ht="72.75" customHeight="1" x14ac:dyDescent="0.25">
      <c r="A4" s="503" t="s">
        <v>324</v>
      </c>
      <c r="B4" s="503"/>
      <c r="C4" s="503"/>
      <c r="D4" s="503"/>
      <c r="E4" s="503"/>
      <c r="F4" s="503"/>
      <c r="G4" s="503"/>
      <c r="H4" s="503"/>
      <c r="I4" s="503"/>
    </row>
    <row r="5" spans="1:9" ht="41.25" customHeight="1" x14ac:dyDescent="0.25">
      <c r="A5" s="503" t="s">
        <v>325</v>
      </c>
      <c r="B5" s="503"/>
      <c r="C5" s="503"/>
      <c r="D5" s="503"/>
      <c r="E5" s="503"/>
      <c r="F5" s="503"/>
      <c r="G5" s="503"/>
      <c r="H5" s="503"/>
      <c r="I5" s="503"/>
    </row>
  </sheetData>
  <mergeCells count="4">
    <mergeCell ref="A2:I2"/>
    <mergeCell ref="A3:I3"/>
    <mergeCell ref="A4:I4"/>
    <mergeCell ref="A5:I5"/>
  </mergeCells>
  <pageMargins left="0.19685039370078741" right="0.19685039370078741" top="0.74803149606299213" bottom="0.74803149606299213" header="0.31496062992125984" footer="0.31496062992125984"/>
  <pageSetup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PIGOO</vt:lpstr>
      <vt:lpstr>INDICADORES</vt:lpstr>
      <vt:lpstr>graficos</vt:lpstr>
      <vt:lpstr>INSTRUCTIVO</vt:lpstr>
      <vt:lpstr>PIGOO!Área_de_impresión</vt:lpstr>
      <vt:lpstr>PIGOO!Títulos_a_imprimir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Esparza</dc:creator>
  <cp:lastModifiedBy>VillaLopez</cp:lastModifiedBy>
  <cp:lastPrinted>2023-02-02T15:44:13Z</cp:lastPrinted>
  <dcterms:created xsi:type="dcterms:W3CDTF">2018-04-02T17:47:44Z</dcterms:created>
  <dcterms:modified xsi:type="dcterms:W3CDTF">2023-02-02T15:48:04Z</dcterms:modified>
</cp:coreProperties>
</file>